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RQ3_BWC_Specialised_Medicine/Diabetes Home Care/AID/AID Setting calculators/"/>
    </mc:Choice>
  </mc:AlternateContent>
  <xr:revisionPtr revIDLastSave="180" documentId="13_ncr:1_{358072AC-50E2-49E6-8FAB-6EBFC1DE1652}" xr6:coauthVersionLast="47" xr6:coauthVersionMax="47" xr10:uidLastSave="{BE005219-E300-4211-AE1F-37FDC11A8068}"/>
  <bookViews>
    <workbookView xWindow="-98" yWindow="-98" windowWidth="33946" windowHeight="21975" xr2:uid="{2CDD56A6-85E6-4B44-A715-CFB751FAD0EB}"/>
  </bookViews>
  <sheets>
    <sheet name="Calculator" sheetId="1" r:id="rId1"/>
    <sheet name="780G" sheetId="4" r:id="rId2"/>
    <sheet name="CamAPS" sheetId="6" r:id="rId3"/>
    <sheet name="Omnipod 5" sheetId="7" r:id="rId4"/>
    <sheet name="T-Slim" sheetId="5" r:id="rId5"/>
    <sheet name="Codes" sheetId="2" r:id="rId6"/>
    <sheet name="Settings" sheetId="3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6" i="5" s="1"/>
  <c r="E26" i="7" l="1"/>
  <c r="D24" i="7"/>
  <c r="E22" i="7"/>
  <c r="C20" i="7"/>
  <c r="I14" i="7"/>
  <c r="C5" i="7"/>
  <c r="F5" i="7" s="1"/>
  <c r="F4" i="7"/>
  <c r="C4" i="7"/>
  <c r="E26" i="6"/>
  <c r="D24" i="6"/>
  <c r="E22" i="6"/>
  <c r="C20" i="6"/>
  <c r="I14" i="6"/>
  <c r="C5" i="6"/>
  <c r="F5" i="6" s="1"/>
  <c r="F4" i="6"/>
  <c r="C4" i="6"/>
  <c r="E28" i="5"/>
  <c r="D26" i="5"/>
  <c r="E24" i="5"/>
  <c r="C22" i="5"/>
  <c r="I14" i="5"/>
  <c r="C5" i="5"/>
  <c r="F5" i="5" s="1"/>
  <c r="C4" i="5"/>
  <c r="E26" i="4"/>
  <c r="D24" i="4"/>
  <c r="E22" i="4"/>
  <c r="C20" i="4"/>
  <c r="I14" i="4"/>
  <c r="C5" i="4"/>
  <c r="F5" i="4" s="1"/>
  <c r="F4" i="4"/>
  <c r="C4" i="4"/>
  <c r="C8" i="1"/>
  <c r="F17" i="7" s="1"/>
  <c r="F16" i="7" s="1"/>
  <c r="F4" i="3"/>
  <c r="I14" i="3"/>
  <c r="D35" i="3"/>
  <c r="C31" i="3"/>
  <c r="E37" i="3"/>
  <c r="E33" i="3"/>
  <c r="C5" i="3"/>
  <c r="F5" i="3" s="1"/>
  <c r="C4" i="3"/>
  <c r="E38" i="1"/>
  <c r="E34" i="1"/>
  <c r="F5" i="1"/>
  <c r="H17" i="6" l="1"/>
  <c r="F16" i="6" s="1"/>
  <c r="F17" i="5"/>
  <c r="F16" i="5" s="1"/>
  <c r="F17" i="4"/>
  <c r="F16" i="4" s="1"/>
  <c r="G26" i="1"/>
  <c r="G27" i="1"/>
  <c r="F14" i="7"/>
  <c r="F8" i="1"/>
  <c r="F14" i="6"/>
  <c r="F14" i="3"/>
  <c r="F14" i="5"/>
  <c r="F14" i="4"/>
  <c r="F17" i="6"/>
  <c r="I15" i="7"/>
  <c r="I15" i="6"/>
  <c r="F16" i="3"/>
  <c r="I15" i="5"/>
  <c r="I15" i="4"/>
  <c r="I15" i="3"/>
  <c r="F17" i="3"/>
  <c r="C12" i="2"/>
  <c r="C11" i="2"/>
  <c r="C10" i="2"/>
  <c r="F19" i="1" l="1"/>
  <c r="D19" i="1"/>
  <c r="C8" i="4"/>
  <c r="C6" i="4" s="1"/>
  <c r="C8" i="7"/>
  <c r="C6" i="7" s="1"/>
  <c r="C8" i="6"/>
  <c r="C6" i="6" s="1"/>
  <c r="E27" i="1"/>
  <c r="E26" i="1"/>
  <c r="C17" i="1"/>
  <c r="C13" i="1"/>
  <c r="C14" i="1"/>
  <c r="C16" i="1"/>
  <c r="C15" i="1"/>
  <c r="F15" i="6" l="1"/>
  <c r="F15" i="7"/>
  <c r="F15" i="5"/>
  <c r="F15" i="4"/>
  <c r="F15" i="3"/>
  <c r="C6" i="3"/>
  <c r="C12" i="5" l="1"/>
  <c r="C10" i="5"/>
  <c r="C9" i="5"/>
  <c r="C11" i="5"/>
  <c r="C8" i="5"/>
</calcChain>
</file>

<file path=xl/sharedStrings.xml><?xml version="1.0" encoding="utf-8"?>
<sst xmlns="http://schemas.openxmlformats.org/spreadsheetml/2006/main" count="341" uniqueCount="116">
  <si>
    <t xml:space="preserve">Pump dose setting calculator </t>
  </si>
  <si>
    <t>Instructions:</t>
  </si>
  <si>
    <t>Name</t>
  </si>
  <si>
    <t>NHS number</t>
  </si>
  <si>
    <r>
      <t xml:space="preserve">File - Save As - Save in the patients electronic file </t>
    </r>
    <r>
      <rPr>
        <b/>
        <sz val="11"/>
        <color theme="1"/>
        <rFont val="Calibri"/>
        <family val="2"/>
        <scheme val="minor"/>
      </rPr>
      <t>DO NOT SAVE OVER THIS TEMPLATE</t>
    </r>
  </si>
  <si>
    <t>DOB</t>
  </si>
  <si>
    <t>AGE</t>
  </si>
  <si>
    <t>years</t>
  </si>
  <si>
    <t>PUMP or MDI TDD</t>
  </si>
  <si>
    <t>units/day</t>
  </si>
  <si>
    <r>
      <t xml:space="preserve">1. Complete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the blue boxes to get suggested settings</t>
    </r>
  </si>
  <si>
    <t>Reduce MDI TDD</t>
  </si>
  <si>
    <t>Weight (kg)</t>
  </si>
  <si>
    <t>PUMP TDD</t>
  </si>
  <si>
    <t>Units per kg</t>
  </si>
  <si>
    <t>2. Reduce MDI TDD: Clinical judgement for 10%, 20% or 30% (HbA1c, TIR, TDD &amp; compliance)</t>
  </si>
  <si>
    <t>Current Basal</t>
  </si>
  <si>
    <t>Reduction of basal</t>
  </si>
  <si>
    <t>Basal rate guidance</t>
  </si>
  <si>
    <t>3. Basal: Add current basal then select reduction based on clinical judgement as above</t>
  </si>
  <si>
    <t>Total basal</t>
  </si>
  <si>
    <t>Age</t>
  </si>
  <si>
    <t>Basal %</t>
  </si>
  <si>
    <t>Basal rates</t>
  </si>
  <si>
    <t>units/hour</t>
  </si>
  <si>
    <t>&lt;7 years</t>
  </si>
  <si>
    <t>00:00-07.00</t>
  </si>
  <si>
    <t>7yrs -puberty</t>
  </si>
  <si>
    <t>07.00-10.00</t>
  </si>
  <si>
    <t>Pubertal</t>
  </si>
  <si>
    <t>10.00-15.00</t>
  </si>
  <si>
    <t>Active</t>
  </si>
  <si>
    <t>15.00-19.00</t>
  </si>
  <si>
    <t>&gt; 4 bolus/day</t>
  </si>
  <si>
    <t>6. Compare the suggested settings with current settings (use your clinical judgement)</t>
  </si>
  <si>
    <t>19:00-00:00</t>
  </si>
  <si>
    <t>&lt; 4 bolus/day</t>
  </si>
  <si>
    <t>7. Use clinical judgement to decide if keeping current settings or modifying</t>
  </si>
  <si>
    <t xml:space="preserve">ISF </t>
  </si>
  <si>
    <t>mmol/L</t>
  </si>
  <si>
    <t xml:space="preserve">              If &gt;60% TIR and less than 4% TBR keep most of current settings</t>
  </si>
  <si>
    <t xml:space="preserve">              If 50-60% TIR consider some modification</t>
  </si>
  <si>
    <t xml:space="preserve">ICR rules </t>
  </si>
  <si>
    <t>Under 5 years</t>
  </si>
  <si>
    <t>Under 12years</t>
  </si>
  <si>
    <t>Over 12years</t>
  </si>
  <si>
    <t xml:space="preserve">              If &lt;50% TIR consider lots of modification</t>
  </si>
  <si>
    <t>Breakfast</t>
  </si>
  <si>
    <t>Midday</t>
  </si>
  <si>
    <t>USE JUDGEMENT - CALCUALORS DO NOT KNOW THE HUMAN BEING - YOU DO</t>
  </si>
  <si>
    <t>Evening</t>
  </si>
  <si>
    <t>9. Sign completed by and countersigned by</t>
  </si>
  <si>
    <t>ICR Breakfast</t>
  </si>
  <si>
    <t>1 unit will cover</t>
  </si>
  <si>
    <t>g carbohydrate</t>
  </si>
  <si>
    <t>ICR meals</t>
  </si>
  <si>
    <t>10. Go to the Sheet (bottom) for the AID system to be used and complete the empty blue boxes:</t>
  </si>
  <si>
    <r>
      <rPr>
        <b/>
        <sz val="11"/>
        <color theme="1"/>
        <rFont val="Calibri"/>
        <family val="2"/>
        <scheme val="minor"/>
      </rPr>
      <t xml:space="preserve">Basal rates </t>
    </r>
    <r>
      <rPr>
        <sz val="11"/>
        <color theme="1"/>
        <rFont val="Calibri"/>
        <family val="2"/>
        <scheme val="minor"/>
      </rPr>
      <t xml:space="preserve">- Automatically set with only one basal rate for 24 hrs (easier to update every 3/12) </t>
    </r>
  </si>
  <si>
    <t>Except T-Slim where if using suggested basal rates (in green boxes), highlight the green boxes</t>
  </si>
  <si>
    <t>right click "Copy", then go to the T-Slim sheet, highlight the basal boxes , right click "Paste 123"</t>
  </si>
  <si>
    <t>Completed</t>
  </si>
  <si>
    <r>
      <rPr>
        <b/>
        <sz val="11"/>
        <color theme="1"/>
        <rFont val="Calibri"/>
        <family val="2"/>
        <scheme val="minor"/>
      </rPr>
      <t xml:space="preserve">ICR </t>
    </r>
    <r>
      <rPr>
        <sz val="11"/>
        <color theme="1"/>
        <rFont val="Calibri"/>
        <family val="2"/>
        <scheme val="minor"/>
      </rPr>
      <t>- Keep current ISC, "Paste 123" ICR settings in green from this page, or use clinical judgement</t>
    </r>
  </si>
  <si>
    <t xml:space="preserve"> and go between the two</t>
  </si>
  <si>
    <r>
      <rPr>
        <b/>
        <sz val="11"/>
        <color theme="1"/>
        <rFont val="Calibri"/>
        <family val="2"/>
        <scheme val="minor"/>
      </rPr>
      <t xml:space="preserve">ISF </t>
    </r>
    <r>
      <rPr>
        <sz val="11"/>
        <color theme="1"/>
        <rFont val="Calibri"/>
        <family val="2"/>
        <scheme val="minor"/>
      </rPr>
      <t>- Keep current ISF, "Paste 123" ISF settings in green from this page, or use clinical judgement</t>
    </r>
  </si>
  <si>
    <t>Countersigned</t>
  </si>
  <si>
    <t>11. Have you - Saved As in the patients electronic file in their pump folder?</t>
  </si>
  <si>
    <t>References</t>
  </si>
  <si>
    <t>12. Print two copies of the AID sheet yopu have completed for for pump school</t>
  </si>
  <si>
    <r>
      <t xml:space="preserve">Hanas R, Adolfsson P. </t>
    </r>
    <r>
      <rPr>
        <i/>
        <sz val="11"/>
        <color rgb="FF303030"/>
        <rFont val="Calibri"/>
        <family val="2"/>
        <scheme val="minor"/>
      </rPr>
      <t>J Diabetes Sci Technol</t>
    </r>
    <r>
      <rPr>
        <sz val="11"/>
        <color rgb="FF303030"/>
        <rFont val="Calibri"/>
        <family val="2"/>
        <scheme val="minor"/>
      </rPr>
      <t>. 2017;11(2):247-252.</t>
    </r>
  </si>
  <si>
    <t>Birmingham Women's and Children's Foundation Trust Diabetes Team would like the thank University Hospitals College London Diabetes Team for sharing their template we adapted. Together we are stronger!</t>
  </si>
  <si>
    <t>Sherr et al 2022 ISPAD Guidlines pump therpay Pediatr Diabetes. 2022;1–26.</t>
  </si>
  <si>
    <t>Phillip et al AID Concensus Statement Endocr Rev. 2023 Mar 4;44(2):254-280</t>
  </si>
  <si>
    <t>yrs</t>
  </si>
  <si>
    <t>Basal Total</t>
  </si>
  <si>
    <t>Carb ratios</t>
  </si>
  <si>
    <t>1u:g</t>
  </si>
  <si>
    <t>Correction</t>
  </si>
  <si>
    <t>1u:mmol/L</t>
  </si>
  <si>
    <t>00:00-24:00</t>
  </si>
  <si>
    <t>00.00-10.00</t>
  </si>
  <si>
    <t>BG target</t>
  </si>
  <si>
    <t>Max Bolus</t>
  </si>
  <si>
    <t>Weight</t>
  </si>
  <si>
    <t>Max basal</t>
  </si>
  <si>
    <t>TDD</t>
  </si>
  <si>
    <t>Low reservoir</t>
  </si>
  <si>
    <t>Active Insulin</t>
  </si>
  <si>
    <t>3.0 hrs</t>
  </si>
  <si>
    <t>Completed by</t>
  </si>
  <si>
    <t>Countersigned by</t>
  </si>
  <si>
    <t>19:00-24:00</t>
  </si>
  <si>
    <t>Daily Maximum</t>
  </si>
  <si>
    <t>(CamAPS Only)</t>
  </si>
  <si>
    <t>00:00-10.00</t>
  </si>
  <si>
    <t>19.00-24.00</t>
  </si>
  <si>
    <t>Reverese correction = OFF</t>
  </si>
  <si>
    <t>Low Pod insulin</t>
  </si>
  <si>
    <t>2.5 hrs</t>
  </si>
  <si>
    <t>2 hrs</t>
  </si>
  <si>
    <t>3.5 hrs</t>
  </si>
  <si>
    <t xml:space="preserve">BG target </t>
  </si>
  <si>
    <t>780G</t>
  </si>
  <si>
    <t>T-Slim X2 Control IQ uses 6.1mmol/L</t>
  </si>
  <si>
    <t>CamAPS FX</t>
  </si>
  <si>
    <t>Omnipod 5</t>
  </si>
  <si>
    <t>Aggressive</t>
  </si>
  <si>
    <t>Starting</t>
  </si>
  <si>
    <t>Hypo issues</t>
  </si>
  <si>
    <t>T-Slim X2 Control IQ uses 5 hrs</t>
  </si>
  <si>
    <t>2 hr</t>
  </si>
  <si>
    <t>3 hrs</t>
  </si>
  <si>
    <t>to</t>
  </si>
  <si>
    <t>1 unit lowers by</t>
  </si>
  <si>
    <t>4. ISF: this is only a guide range</t>
  </si>
  <si>
    <t>5. ICR: this is only a guide</t>
  </si>
  <si>
    <t>5hrs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</si>
</sst>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03030"/>
      <name val="Calibri"/>
      <family val="2"/>
      <scheme val="minor"/>
    </font>
    <font>
      <i/>
      <sz val="11"/>
      <color rgb="FF30303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424242"/>
      <name val="Verdana"/>
      <charset val="1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DashDotDot">
        <color auto="1"/>
      </left>
      <right style="mediumDashDotDot">
        <color auto="1"/>
      </right>
      <top style="mediumDashDotDot">
        <color auto="1"/>
      </top>
      <bottom style="mediumDashDotDot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9" fontId="0" fillId="0" borderId="0" xfId="0" applyNumberForma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0" xfId="0" applyFont="1"/>
    <xf numFmtId="0" fontId="3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6" borderId="10" xfId="0" applyFont="1" applyFill="1" applyBorder="1" applyAlignment="1">
      <alignment horizontal="left"/>
    </xf>
    <xf numFmtId="0" fontId="8" fillId="6" borderId="10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10" fillId="6" borderId="10" xfId="0" applyFont="1" applyFill="1" applyBorder="1" applyAlignment="1">
      <alignment horizontal="left"/>
    </xf>
    <xf numFmtId="164" fontId="8" fillId="4" borderId="0" xfId="0" applyNumberFormat="1" applyFont="1" applyFill="1" applyAlignment="1">
      <alignment horizontal="center"/>
    </xf>
    <xf numFmtId="0" fontId="7" fillId="2" borderId="0" xfId="0" applyFont="1" applyFill="1"/>
    <xf numFmtId="0" fontId="8" fillId="0" borderId="2" xfId="0" applyFont="1" applyBorder="1"/>
    <xf numFmtId="0" fontId="8" fillId="0" borderId="3" xfId="0" applyFont="1" applyBorder="1"/>
    <xf numFmtId="0" fontId="8" fillId="0" borderId="5" xfId="0" applyFont="1" applyBorder="1"/>
    <xf numFmtId="0" fontId="8" fillId="0" borderId="6" xfId="0" applyFont="1" applyBorder="1"/>
    <xf numFmtId="0" fontId="8" fillId="6" borderId="2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/>
    </xf>
    <xf numFmtId="0" fontId="11" fillId="7" borderId="0" xfId="0" applyFont="1" applyFill="1" applyAlignment="1">
      <alignment horizontal="left"/>
    </xf>
    <xf numFmtId="2" fontId="11" fillId="7" borderId="0" xfId="0" applyNumberFormat="1" applyFont="1" applyFill="1" applyAlignment="1" applyProtection="1">
      <alignment horizontal="center"/>
      <protection locked="0"/>
    </xf>
    <xf numFmtId="0" fontId="11" fillId="0" borderId="0" xfId="0" applyFont="1" applyAlignment="1">
      <alignment horizontal="left"/>
    </xf>
    <xf numFmtId="0" fontId="7" fillId="7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1" fontId="11" fillId="7" borderId="0" xfId="0" applyNumberFormat="1" applyFont="1" applyFill="1" applyAlignment="1">
      <alignment horizontal="center"/>
    </xf>
    <xf numFmtId="0" fontId="12" fillId="7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0" borderId="0" xfId="0" applyFont="1"/>
    <xf numFmtId="0" fontId="2" fillId="5" borderId="0" xfId="0" applyFont="1" applyFill="1" applyAlignment="1" applyProtection="1">
      <alignment horizontal="center"/>
      <protection locked="0"/>
    </xf>
    <xf numFmtId="9" fontId="2" fillId="5" borderId="0" xfId="0" applyNumberFormat="1" applyFont="1" applyFill="1" applyAlignment="1" applyProtection="1">
      <alignment horizontal="center"/>
      <protection locked="0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9" fontId="2" fillId="6" borderId="10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9" fontId="2" fillId="6" borderId="9" xfId="0" applyNumberFormat="1" applyFont="1" applyFill="1" applyBorder="1" applyAlignment="1">
      <alignment horizontal="center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2" borderId="0" xfId="0" applyFont="1" applyFill="1"/>
    <xf numFmtId="0" fontId="2" fillId="3" borderId="3" xfId="0" applyFont="1" applyFill="1" applyBorder="1"/>
    <xf numFmtId="14" fontId="2" fillId="3" borderId="6" xfId="0" applyNumberFormat="1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2" fontId="2" fillId="5" borderId="0" xfId="0" applyNumberFormat="1" applyFont="1" applyFill="1" applyAlignment="1">
      <alignment horizontal="center"/>
    </xf>
    <xf numFmtId="164" fontId="2" fillId="5" borderId="0" xfId="0" applyNumberFormat="1" applyFont="1" applyFill="1" applyAlignment="1" applyProtection="1">
      <alignment horizontal="center"/>
      <protection locked="0"/>
    </xf>
    <xf numFmtId="2" fontId="2" fillId="5" borderId="0" xfId="0" applyNumberFormat="1" applyFont="1" applyFill="1" applyAlignment="1" applyProtection="1">
      <alignment horizontal="center"/>
      <protection locked="0"/>
    </xf>
    <xf numFmtId="164" fontId="2" fillId="7" borderId="0" xfId="0" applyNumberFormat="1" applyFont="1" applyFill="1" applyAlignment="1" applyProtection="1">
      <alignment horizontal="center"/>
      <protection locked="0"/>
    </xf>
    <xf numFmtId="1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 applyProtection="1">
      <alignment horizontal="center"/>
      <protection locked="0"/>
    </xf>
    <xf numFmtId="0" fontId="2" fillId="0" borderId="9" xfId="0" applyFont="1" applyBorder="1" applyAlignment="1">
      <alignment horizontal="left"/>
    </xf>
    <xf numFmtId="0" fontId="2" fillId="0" borderId="9" xfId="0" applyFont="1" applyBorder="1"/>
    <xf numFmtId="164" fontId="2" fillId="0" borderId="0" xfId="0" applyNumberFormat="1" applyFont="1"/>
    <xf numFmtId="0" fontId="2" fillId="6" borderId="11" xfId="0" applyFont="1" applyFill="1" applyBorder="1" applyAlignment="1">
      <alignment horizontal="left"/>
    </xf>
    <xf numFmtId="0" fontId="2" fillId="6" borderId="0" xfId="0" applyFont="1" applyFill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5" borderId="3" xfId="0" applyFont="1" applyFill="1" applyBorder="1" applyAlignment="1" applyProtection="1">
      <alignment horizontal="left"/>
      <protection locked="0"/>
    </xf>
    <xf numFmtId="0" fontId="13" fillId="5" borderId="3" xfId="0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0" fontId="8" fillId="7" borderId="0" xfId="0" applyFont="1" applyFill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8" fillId="0" borderId="0" xfId="0" applyFont="1" applyAlignment="1">
      <alignment horizontal="center" wrapText="1"/>
    </xf>
    <xf numFmtId="14" fontId="13" fillId="5" borderId="6" xfId="0" applyNumberFormat="1" applyFont="1" applyFill="1" applyBorder="1" applyAlignment="1" applyProtection="1">
      <alignment horizontal="left"/>
      <protection locked="0"/>
    </xf>
    <xf numFmtId="14" fontId="2" fillId="5" borderId="6" xfId="0" applyNumberFormat="1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/>
    <xf numFmtId="0" fontId="1" fillId="5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4F455-08A4-EE44-8FDB-FF04A21BD86D}">
  <dimension ref="B1:M43"/>
  <sheetViews>
    <sheetView showGridLines="0" tabSelected="1" showWhiteSpace="0" view="pageBreakPreview" zoomScale="125" zoomScaleNormal="60" zoomScaleSheetLayoutView="125" zoomScalePageLayoutView="120" workbookViewId="0">
      <selection activeCell="C36" sqref="C36:F37"/>
    </sheetView>
  </sheetViews>
  <sheetFormatPr defaultColWidth="11" defaultRowHeight="14.25" x14ac:dyDescent="0.45"/>
  <cols>
    <col min="1" max="1" width="3.125" style="7" customWidth="1"/>
    <col min="2" max="2" width="15" style="7" customWidth="1"/>
    <col min="3" max="3" width="12.625" style="6" bestFit="1" customWidth="1"/>
    <col min="4" max="4" width="13.375" style="7" bestFit="1" customWidth="1"/>
    <col min="5" max="5" width="11.625" style="7" customWidth="1"/>
    <col min="6" max="6" width="14" style="6" customWidth="1"/>
    <col min="7" max="7" width="6.625" style="7" customWidth="1"/>
    <col min="8" max="8" width="2.625" style="7" customWidth="1"/>
    <col min="9" max="9" width="47.875" style="7" customWidth="1"/>
    <col min="10" max="10" width="18.125" style="7" customWidth="1"/>
    <col min="11" max="11" width="7" style="7" customWidth="1"/>
    <col min="12" max="12" width="1.25" style="7" customWidth="1"/>
    <col min="13" max="16384" width="11" style="7"/>
  </cols>
  <sheetData>
    <row r="1" spans="2:13" x14ac:dyDescent="0.45">
      <c r="B1" s="4"/>
      <c r="C1" s="5"/>
      <c r="D1" s="4"/>
      <c r="E1" s="4"/>
      <c r="F1" s="40"/>
      <c r="G1" s="41"/>
      <c r="H1" s="41"/>
      <c r="I1" s="41"/>
      <c r="J1" s="41"/>
      <c r="K1" s="41"/>
      <c r="L1" s="41"/>
      <c r="M1" s="41"/>
    </row>
    <row r="3" spans="2:13" x14ac:dyDescent="0.45">
      <c r="B3" s="8" t="s">
        <v>0</v>
      </c>
      <c r="C3" s="42"/>
      <c r="D3" s="43"/>
      <c r="E3" s="43"/>
      <c r="F3" s="42"/>
      <c r="G3" s="43"/>
      <c r="H3" s="41"/>
      <c r="I3" s="41" t="s">
        <v>1</v>
      </c>
      <c r="J3" s="41"/>
      <c r="K3" s="41"/>
      <c r="L3" s="41"/>
      <c r="M3" s="41"/>
    </row>
    <row r="4" spans="2:13" x14ac:dyDescent="0.45">
      <c r="B4" s="9" t="s">
        <v>2</v>
      </c>
      <c r="C4" s="80"/>
      <c r="D4" s="80"/>
      <c r="E4" s="10" t="s">
        <v>3</v>
      </c>
      <c r="F4" s="81"/>
      <c r="G4" s="82"/>
      <c r="H4" s="41"/>
      <c r="I4" s="41" t="s">
        <v>4</v>
      </c>
      <c r="J4" s="41"/>
      <c r="K4" s="41"/>
      <c r="L4" s="41"/>
      <c r="M4" s="41"/>
    </row>
    <row r="5" spans="2:13" x14ac:dyDescent="0.45">
      <c r="B5" s="11" t="s">
        <v>5</v>
      </c>
      <c r="C5" s="93"/>
      <c r="D5" s="94"/>
      <c r="E5" s="12" t="s">
        <v>6</v>
      </c>
      <c r="F5" s="44">
        <f ca="1">DATEDIF(C5,TODAY(),"Y")</f>
        <v>124</v>
      </c>
      <c r="G5" s="45" t="s">
        <v>7</v>
      </c>
      <c r="H5" s="41"/>
      <c r="I5" s="13"/>
      <c r="J5" s="46"/>
      <c r="K5" s="46"/>
      <c r="L5" s="46"/>
      <c r="M5" s="46"/>
    </row>
    <row r="6" spans="2:13" x14ac:dyDescent="0.45">
      <c r="B6" s="15" t="s">
        <v>8</v>
      </c>
      <c r="C6" s="47"/>
      <c r="D6" s="41" t="s">
        <v>9</v>
      </c>
      <c r="E6" s="41"/>
      <c r="F6" s="40"/>
      <c r="G6" s="41"/>
      <c r="H6" s="41"/>
      <c r="I6" s="46" t="s">
        <v>10</v>
      </c>
      <c r="J6" s="46"/>
      <c r="K6" s="46"/>
      <c r="L6" s="46"/>
      <c r="M6" s="46"/>
    </row>
    <row r="7" spans="2:13" x14ac:dyDescent="0.45">
      <c r="B7" s="15" t="s">
        <v>11</v>
      </c>
      <c r="C7" s="48"/>
      <c r="D7" s="41"/>
      <c r="E7" s="15" t="s">
        <v>12</v>
      </c>
      <c r="F7" s="47"/>
      <c r="G7" s="41"/>
      <c r="H7" s="41"/>
      <c r="I7" s="46"/>
      <c r="J7" s="46"/>
      <c r="K7" s="46"/>
      <c r="L7" s="46"/>
      <c r="M7" s="46"/>
    </row>
    <row r="8" spans="2:13" x14ac:dyDescent="0.45">
      <c r="B8" s="16" t="s">
        <v>13</v>
      </c>
      <c r="C8" s="40">
        <f>SUM(C6-(C6*C7))</f>
        <v>0</v>
      </c>
      <c r="D8" s="41" t="s">
        <v>9</v>
      </c>
      <c r="E8" s="41" t="s">
        <v>14</v>
      </c>
      <c r="F8" s="49" t="e">
        <f>SUM(C8/F7)</f>
        <v>#DIV/0!</v>
      </c>
      <c r="G8" s="41"/>
      <c r="H8" s="41"/>
      <c r="I8" s="46" t="s">
        <v>15</v>
      </c>
      <c r="J8" s="46"/>
      <c r="K8" s="46"/>
      <c r="L8" s="46"/>
      <c r="M8" s="46"/>
    </row>
    <row r="9" spans="2:13" x14ac:dyDescent="0.45">
      <c r="B9" s="41" t="s">
        <v>16</v>
      </c>
      <c r="C9" s="47"/>
      <c r="D9" s="41" t="s">
        <v>9</v>
      </c>
      <c r="E9" s="83"/>
      <c r="F9" s="83"/>
      <c r="G9" s="41"/>
      <c r="H9" s="41"/>
      <c r="I9" s="46"/>
      <c r="J9" s="46"/>
      <c r="K9" s="46"/>
      <c r="L9" s="46"/>
      <c r="M9" s="46"/>
    </row>
    <row r="10" spans="2:13" x14ac:dyDescent="0.45">
      <c r="B10" s="41" t="s">
        <v>17</v>
      </c>
      <c r="C10" s="48"/>
      <c r="D10" s="41"/>
      <c r="E10" s="84" t="s">
        <v>18</v>
      </c>
      <c r="F10" s="85"/>
      <c r="G10" s="41"/>
      <c r="H10" s="41"/>
      <c r="I10" s="46" t="s">
        <v>19</v>
      </c>
      <c r="J10" s="46"/>
      <c r="K10" s="46"/>
      <c r="L10" s="46"/>
      <c r="M10" s="46"/>
    </row>
    <row r="11" spans="2:13" x14ac:dyDescent="0.45">
      <c r="B11" s="41" t="s">
        <v>20</v>
      </c>
      <c r="C11" s="50">
        <f>C9-(C9*C10)</f>
        <v>0</v>
      </c>
      <c r="D11" s="41" t="s">
        <v>9</v>
      </c>
      <c r="E11" s="17" t="s">
        <v>21</v>
      </c>
      <c r="F11" s="18" t="s">
        <v>22</v>
      </c>
      <c r="G11" s="41"/>
      <c r="H11" s="41"/>
      <c r="I11" s="46"/>
      <c r="J11" s="46"/>
      <c r="K11" s="46"/>
      <c r="L11" s="46"/>
      <c r="M11" s="46"/>
    </row>
    <row r="12" spans="2:13" x14ac:dyDescent="0.45">
      <c r="B12" s="41" t="s">
        <v>23</v>
      </c>
      <c r="C12" s="19" t="s">
        <v>24</v>
      </c>
      <c r="D12" s="41"/>
      <c r="E12" s="17" t="s">
        <v>25</v>
      </c>
      <c r="F12" s="51">
        <v>0.3</v>
      </c>
      <c r="G12" s="41"/>
      <c r="H12" s="41"/>
      <c r="I12" s="105" t="s">
        <v>113</v>
      </c>
      <c r="J12" s="46"/>
      <c r="K12" s="46"/>
      <c r="L12" s="46"/>
      <c r="M12" s="46"/>
    </row>
    <row r="13" spans="2:13" x14ac:dyDescent="0.45">
      <c r="B13" s="41" t="s">
        <v>26</v>
      </c>
      <c r="C13" s="20">
        <f>C11/24*0.8</f>
        <v>0</v>
      </c>
      <c r="D13" s="41"/>
      <c r="E13" s="17" t="s">
        <v>27</v>
      </c>
      <c r="F13" s="51">
        <v>0.4</v>
      </c>
      <c r="G13" s="41"/>
      <c r="H13" s="41"/>
      <c r="I13" s="46"/>
      <c r="J13" s="46"/>
      <c r="K13" s="46"/>
      <c r="L13" s="46"/>
      <c r="M13" s="46"/>
    </row>
    <row r="14" spans="2:13" x14ac:dyDescent="0.45">
      <c r="B14" s="41" t="s">
        <v>28</v>
      </c>
      <c r="C14" s="20">
        <f>C11/24*1.15</f>
        <v>0</v>
      </c>
      <c r="D14" s="41"/>
      <c r="E14" s="21" t="s">
        <v>29</v>
      </c>
      <c r="F14" s="52"/>
      <c r="G14" s="41"/>
      <c r="H14" s="41"/>
      <c r="I14" s="105" t="s">
        <v>114</v>
      </c>
      <c r="J14" s="46"/>
      <c r="K14" s="46"/>
      <c r="L14" s="46"/>
      <c r="M14" s="46"/>
    </row>
    <row r="15" spans="2:13" x14ac:dyDescent="0.45">
      <c r="B15" s="41" t="s">
        <v>30</v>
      </c>
      <c r="C15" s="20">
        <f>C11/24</f>
        <v>0</v>
      </c>
      <c r="D15" s="41"/>
      <c r="E15" s="17" t="s">
        <v>31</v>
      </c>
      <c r="F15" s="51">
        <v>0.4</v>
      </c>
      <c r="G15" s="41"/>
      <c r="H15" s="41"/>
      <c r="I15" s="46"/>
      <c r="J15" s="46"/>
      <c r="K15" s="46"/>
      <c r="L15" s="46"/>
      <c r="M15" s="46"/>
    </row>
    <row r="16" spans="2:13" x14ac:dyDescent="0.45">
      <c r="B16" s="41" t="s">
        <v>32</v>
      </c>
      <c r="C16" s="20">
        <f>C11/24*1.05</f>
        <v>0</v>
      </c>
      <c r="D16" s="41"/>
      <c r="E16" s="17" t="s">
        <v>33</v>
      </c>
      <c r="F16" s="51">
        <v>0.4</v>
      </c>
      <c r="G16" s="41"/>
      <c r="H16" s="41"/>
      <c r="I16" s="46" t="s">
        <v>34</v>
      </c>
      <c r="J16" s="46"/>
      <c r="K16" s="46"/>
      <c r="L16" s="46"/>
      <c r="M16" s="46"/>
    </row>
    <row r="17" spans="2:13" x14ac:dyDescent="0.45">
      <c r="B17" s="41" t="s">
        <v>35</v>
      </c>
      <c r="C17" s="20">
        <f>C11/24*1.15</f>
        <v>0</v>
      </c>
      <c r="D17" s="41"/>
      <c r="E17" s="17" t="s">
        <v>36</v>
      </c>
      <c r="F17" s="53">
        <v>0.5</v>
      </c>
      <c r="G17" s="41"/>
      <c r="H17" s="41"/>
      <c r="I17" s="46"/>
      <c r="J17" s="46"/>
      <c r="K17" s="46"/>
      <c r="L17" s="46"/>
      <c r="M17" s="46"/>
    </row>
    <row r="18" spans="2:13" x14ac:dyDescent="0.45">
      <c r="B18" s="41"/>
      <c r="C18" s="40"/>
      <c r="D18" s="41"/>
      <c r="E18" s="41"/>
      <c r="F18" s="40"/>
      <c r="G18" s="41"/>
      <c r="H18" s="41"/>
      <c r="I18" s="46" t="s">
        <v>37</v>
      </c>
      <c r="J18" s="46"/>
      <c r="K18" s="46"/>
      <c r="L18" s="46"/>
      <c r="M18" s="46"/>
    </row>
    <row r="19" spans="2:13" x14ac:dyDescent="0.45">
      <c r="B19" s="15" t="s">
        <v>38</v>
      </c>
      <c r="C19" s="105" t="s">
        <v>112</v>
      </c>
      <c r="D19" s="22" t="e">
        <f>IF(F8&gt;1.4,90/C8*0.7,IF(F8&gt;1.2,90/C8*0.8,IF(F8&gt;1,90/C8*0.9,IF(F8&gt;0.6,90/C8*1,IF(F8&gt;0.4,90/C8*1.1,IF(F8&gt;0.3,90/C8*1.2,IF(F8&lt;0.301,90/C8*1.3)))))))</f>
        <v>#DIV/0!</v>
      </c>
      <c r="E19" s="22" t="s">
        <v>111</v>
      </c>
      <c r="F19" s="22" t="e">
        <f>IF(F8&gt;1.4,115/C8*0.7,IF(F8&gt;1.2,115/C8*0.8,IF(F8&gt;1,115/C8*0.9,IF(F8&gt;0.6,115/C8*1,IF(F8&gt;0.4,115/C8*1.1,IF(F8&gt;0.3,115/C8*1.2,IF(F8&lt;0.301,115/C8*1.3)))))))</f>
        <v>#DIV/0!</v>
      </c>
      <c r="G19" s="19" t="s">
        <v>39</v>
      </c>
      <c r="H19" s="41"/>
      <c r="I19" s="46" t="s">
        <v>40</v>
      </c>
      <c r="J19" s="46"/>
      <c r="K19" s="46"/>
      <c r="L19" s="46"/>
      <c r="M19" s="46"/>
    </row>
    <row r="20" spans="2:13" ht="14.65" thickBot="1" x14ac:dyDescent="0.5">
      <c r="B20" s="41"/>
      <c r="C20" s="40"/>
      <c r="D20" s="41"/>
      <c r="E20" s="41"/>
      <c r="F20" s="40"/>
      <c r="G20" s="41"/>
      <c r="H20" s="41"/>
      <c r="I20" s="41" t="s">
        <v>41</v>
      </c>
      <c r="J20" s="46"/>
      <c r="K20" s="46"/>
      <c r="L20" s="46"/>
      <c r="M20" s="46"/>
    </row>
    <row r="21" spans="2:13" ht="14.65" thickBot="1" x14ac:dyDescent="0.5">
      <c r="B21" s="35" t="s">
        <v>42</v>
      </c>
      <c r="C21" s="36" t="s">
        <v>43</v>
      </c>
      <c r="D21" s="36" t="s">
        <v>44</v>
      </c>
      <c r="E21" s="36" t="s">
        <v>45</v>
      </c>
      <c r="F21" s="40"/>
      <c r="G21" s="41"/>
      <c r="H21" s="41"/>
      <c r="I21" s="46" t="s">
        <v>46</v>
      </c>
      <c r="J21" s="46"/>
      <c r="K21" s="46"/>
      <c r="L21" s="46"/>
      <c r="M21" s="46"/>
    </row>
    <row r="22" spans="2:13" ht="14.65" thickBot="1" x14ac:dyDescent="0.5">
      <c r="B22" s="35" t="s">
        <v>47</v>
      </c>
      <c r="C22" s="37">
        <v>150</v>
      </c>
      <c r="D22" s="37">
        <v>200</v>
      </c>
      <c r="E22" s="37">
        <v>300</v>
      </c>
      <c r="F22" s="40"/>
      <c r="G22" s="41"/>
      <c r="H22" s="41"/>
      <c r="I22" s="13"/>
      <c r="J22" s="46"/>
      <c r="K22" s="46"/>
      <c r="L22" s="46"/>
      <c r="M22" s="46"/>
    </row>
    <row r="23" spans="2:13" ht="14.65" thickBot="1" x14ac:dyDescent="0.5">
      <c r="B23" s="35" t="s">
        <v>48</v>
      </c>
      <c r="C23" s="37">
        <v>250</v>
      </c>
      <c r="D23" s="37">
        <v>250</v>
      </c>
      <c r="E23" s="37">
        <v>350</v>
      </c>
      <c r="F23" s="40"/>
      <c r="G23" s="41"/>
      <c r="H23" s="41"/>
      <c r="I23" s="13" t="s">
        <v>49</v>
      </c>
      <c r="J23" s="46"/>
      <c r="K23" s="46"/>
      <c r="L23" s="46"/>
      <c r="M23" s="46"/>
    </row>
    <row r="24" spans="2:13" ht="14.65" thickBot="1" x14ac:dyDescent="0.5">
      <c r="B24" s="35" t="s">
        <v>50</v>
      </c>
      <c r="C24" s="37">
        <v>250</v>
      </c>
      <c r="D24" s="37">
        <v>250</v>
      </c>
      <c r="E24" s="37">
        <v>350</v>
      </c>
      <c r="F24" s="40"/>
      <c r="G24" s="41"/>
      <c r="H24" s="41"/>
      <c r="I24" s="46"/>
      <c r="J24" s="46"/>
      <c r="K24" s="46"/>
      <c r="L24" s="46"/>
      <c r="M24" s="46"/>
    </row>
    <row r="25" spans="2:13" x14ac:dyDescent="0.45">
      <c r="B25" s="41"/>
      <c r="C25" s="40"/>
      <c r="D25" s="41"/>
      <c r="E25" s="41"/>
      <c r="F25" s="40"/>
      <c r="G25" s="41"/>
      <c r="H25" s="41"/>
      <c r="I25" s="46" t="s">
        <v>51</v>
      </c>
      <c r="J25" s="46"/>
      <c r="K25" s="46"/>
      <c r="L25" s="46"/>
      <c r="M25" s="46"/>
    </row>
    <row r="26" spans="2:13" x14ac:dyDescent="0.45">
      <c r="B26" s="95" t="s">
        <v>52</v>
      </c>
      <c r="C26" s="95"/>
      <c r="D26" s="41" t="s">
        <v>53</v>
      </c>
      <c r="E26" s="22" t="e">
        <f>IF(F8&gt;1.4,G26*0.7,IF(F8&gt;1.2,G26*0.8,IF(F8&gt;1,G26*0.9,IF(F8&gt;0.6,G26*1,IF(F8&gt;0.4,G26*1.1,IF(F8&gt;0.3,G26*1.2,IF(F8&lt;0.301,G26*1.3)))))))</f>
        <v>#DIV/0!</v>
      </c>
      <c r="F26" s="19" t="s">
        <v>54</v>
      </c>
      <c r="G26" s="34" t="e">
        <f>IF(FC8&gt;100,500/C8,IF(C8&gt;75,450/C8,IF(C8&gt;50,400/C8,IF(C8&gt;40,350/C8,IF(C8&gt;30,300/C8,IF(C8&gt;15,250/C8,IF(C8&gt;10,200/C8,IF(C8&lt;10,150/C8))))))))</f>
        <v>#DIV/0!</v>
      </c>
      <c r="H26" s="41"/>
      <c r="I26" s="46"/>
      <c r="J26" s="46"/>
      <c r="K26" s="46"/>
      <c r="L26" s="46"/>
      <c r="M26" s="46"/>
    </row>
    <row r="27" spans="2:13" x14ac:dyDescent="0.45">
      <c r="B27" s="95" t="s">
        <v>55</v>
      </c>
      <c r="C27" s="95"/>
      <c r="D27" s="41" t="s">
        <v>53</v>
      </c>
      <c r="E27" s="22" t="e">
        <f>IF(F8&gt;1.4,G27*0.7,IF(F8&gt;1.2,G27*0.8,IF(F8&gt;1,G27*0.9,IF(F8&gt;0.6,G27*1,IF(F8&gt;0.4,G27*1.1,IF(F8&gt;0.3,G27*1.2,IF(F8&lt;0.301,G27*1.3)))))))</f>
        <v>#DIV/0!</v>
      </c>
      <c r="F27" s="19" t="s">
        <v>54</v>
      </c>
      <c r="G27" s="34" t="e">
        <f>IF(FC8&gt;100,550/C8,IF(C8&gt;75,500/C8,IF(C8&gt;50,450/C8,IF(C8&gt;40,400/C8,IF(C8&gt;30,350/C8,IF(C8&gt;15,300/C8,IF(C8&gt;10,250/C8,IF(C8&lt;10,200/C8))))))))</f>
        <v>#DIV/0!</v>
      </c>
      <c r="H27" s="41"/>
      <c r="I27" s="46" t="s">
        <v>56</v>
      </c>
      <c r="J27" s="46"/>
      <c r="K27" s="46"/>
      <c r="L27" s="46"/>
      <c r="M27" s="46"/>
    </row>
    <row r="28" spans="2:13" x14ac:dyDescent="0.45">
      <c r="B28" s="41"/>
      <c r="C28" s="40"/>
      <c r="D28" s="41"/>
      <c r="E28" s="41"/>
      <c r="F28" s="40"/>
      <c r="G28" s="41"/>
      <c r="H28" s="41"/>
      <c r="I28" s="46" t="s">
        <v>57</v>
      </c>
      <c r="J28" s="46"/>
      <c r="K28" s="46"/>
      <c r="L28" s="46"/>
      <c r="M28" s="46"/>
    </row>
    <row r="29" spans="2:13" x14ac:dyDescent="0.45">
      <c r="B29" s="41"/>
      <c r="C29" s="40"/>
      <c r="D29" s="41"/>
      <c r="E29" s="41"/>
      <c r="F29" s="40"/>
      <c r="G29" s="41"/>
      <c r="H29" s="41"/>
      <c r="I29" s="46" t="s">
        <v>58</v>
      </c>
      <c r="J29" s="46"/>
      <c r="K29" s="46"/>
      <c r="L29" s="46"/>
      <c r="M29" s="46"/>
    </row>
    <row r="30" spans="2:13" x14ac:dyDescent="0.45">
      <c r="B30" s="41"/>
      <c r="C30" s="40"/>
      <c r="D30" s="41"/>
      <c r="E30" s="41"/>
      <c r="F30" s="40"/>
      <c r="G30" s="41"/>
      <c r="H30" s="41"/>
      <c r="I30" s="46" t="s">
        <v>59</v>
      </c>
      <c r="J30" s="46"/>
      <c r="K30" s="46"/>
      <c r="L30" s="46"/>
      <c r="M30" s="46"/>
    </row>
    <row r="31" spans="2:13" x14ac:dyDescent="0.45">
      <c r="B31" s="41"/>
      <c r="C31" s="40"/>
      <c r="D31" s="41"/>
      <c r="E31" s="41"/>
      <c r="F31" s="40"/>
      <c r="G31" s="41"/>
      <c r="H31" s="41"/>
      <c r="I31" s="46"/>
      <c r="J31" s="46"/>
      <c r="K31" s="46"/>
      <c r="L31" s="46"/>
      <c r="M31" s="46"/>
    </row>
    <row r="32" spans="2:13" x14ac:dyDescent="0.45">
      <c r="B32" s="90" t="s">
        <v>60</v>
      </c>
      <c r="C32" s="86"/>
      <c r="D32" s="86"/>
      <c r="E32" s="86"/>
      <c r="F32" s="87"/>
      <c r="G32" s="41"/>
      <c r="H32" s="41"/>
      <c r="I32" s="46" t="s">
        <v>61</v>
      </c>
      <c r="J32" s="46"/>
      <c r="K32" s="46"/>
      <c r="L32" s="46"/>
      <c r="M32" s="46"/>
    </row>
    <row r="33" spans="2:13" x14ac:dyDescent="0.45">
      <c r="B33" s="91"/>
      <c r="C33" s="88"/>
      <c r="D33" s="88"/>
      <c r="E33" s="88"/>
      <c r="F33" s="89"/>
      <c r="G33" s="41"/>
      <c r="H33" s="41"/>
      <c r="I33" s="46" t="s">
        <v>62</v>
      </c>
      <c r="J33" s="46"/>
      <c r="K33" s="46"/>
      <c r="L33" s="46"/>
      <c r="M33" s="46"/>
    </row>
    <row r="34" spans="2:13" x14ac:dyDescent="0.45">
      <c r="B34" s="41"/>
      <c r="C34" s="40"/>
      <c r="D34" s="41"/>
      <c r="E34" s="54">
        <f ca="1">TODAY()</f>
        <v>45427</v>
      </c>
      <c r="F34" s="55"/>
      <c r="G34" s="41"/>
      <c r="H34" s="41"/>
      <c r="I34" s="46"/>
      <c r="J34" s="46"/>
      <c r="K34" s="46"/>
      <c r="L34" s="46"/>
      <c r="M34" s="46"/>
    </row>
    <row r="35" spans="2:13" x14ac:dyDescent="0.45">
      <c r="B35" s="41"/>
      <c r="C35" s="40"/>
      <c r="D35" s="41"/>
      <c r="E35" s="41"/>
      <c r="F35" s="40"/>
      <c r="G35" s="41"/>
      <c r="H35" s="41"/>
      <c r="I35" s="46" t="s">
        <v>63</v>
      </c>
      <c r="J35" s="46"/>
      <c r="K35" s="46"/>
      <c r="L35" s="46"/>
      <c r="M35" s="46"/>
    </row>
    <row r="36" spans="2:13" ht="15.75" customHeight="1" x14ac:dyDescent="0.45">
      <c r="B36" s="56" t="s">
        <v>64</v>
      </c>
      <c r="C36" s="86"/>
      <c r="D36" s="86"/>
      <c r="E36" s="86"/>
      <c r="F36" s="87"/>
      <c r="G36" s="41"/>
      <c r="H36" s="41"/>
      <c r="I36" s="46" t="s">
        <v>62</v>
      </c>
      <c r="J36" s="46"/>
      <c r="K36" s="46"/>
      <c r="L36" s="46"/>
      <c r="M36" s="46"/>
    </row>
    <row r="37" spans="2:13" x14ac:dyDescent="0.45">
      <c r="B37" s="57"/>
      <c r="C37" s="88"/>
      <c r="D37" s="88"/>
      <c r="E37" s="88"/>
      <c r="F37" s="89"/>
      <c r="G37" s="41"/>
      <c r="H37" s="41"/>
      <c r="I37" s="46"/>
      <c r="J37" s="46"/>
      <c r="K37" s="46"/>
      <c r="L37" s="46"/>
      <c r="M37" s="46"/>
    </row>
    <row r="38" spans="2:13" x14ac:dyDescent="0.45">
      <c r="B38" s="41"/>
      <c r="C38" s="40"/>
      <c r="D38" s="41"/>
      <c r="E38" s="54">
        <f ca="1">TODAY()</f>
        <v>45427</v>
      </c>
      <c r="F38" s="55"/>
      <c r="G38" s="41"/>
      <c r="H38" s="41"/>
      <c r="I38" s="46" t="s">
        <v>65</v>
      </c>
      <c r="J38" s="46"/>
      <c r="K38" s="46"/>
      <c r="L38" s="46"/>
      <c r="M38" s="46"/>
    </row>
    <row r="39" spans="2:13" ht="15.75" customHeight="1" x14ac:dyDescent="0.45">
      <c r="B39" s="15" t="s">
        <v>66</v>
      </c>
      <c r="C39" s="40"/>
      <c r="D39" s="41"/>
      <c r="E39" s="41"/>
      <c r="F39" s="40"/>
      <c r="G39" s="41"/>
      <c r="H39" s="41"/>
      <c r="I39" s="46" t="s">
        <v>67</v>
      </c>
      <c r="J39" s="46"/>
      <c r="K39" s="46"/>
      <c r="L39" s="46"/>
      <c r="M39" s="46"/>
    </row>
    <row r="40" spans="2:13" ht="21.75" customHeight="1" x14ac:dyDescent="0.45">
      <c r="B40" s="2" t="s">
        <v>68</v>
      </c>
      <c r="C40" s="40"/>
      <c r="D40" s="41"/>
      <c r="E40" s="41"/>
      <c r="F40" s="40"/>
      <c r="G40" s="41"/>
      <c r="H40" s="41"/>
      <c r="I40" s="92" t="s">
        <v>69</v>
      </c>
      <c r="J40" s="92"/>
      <c r="K40" s="92"/>
      <c r="L40" s="46"/>
      <c r="M40" s="46"/>
    </row>
    <row r="41" spans="2:13" x14ac:dyDescent="0.45">
      <c r="B41" s="3" t="s">
        <v>70</v>
      </c>
      <c r="C41" s="40"/>
      <c r="D41" s="41"/>
      <c r="E41" s="41"/>
      <c r="F41" s="40"/>
      <c r="G41" s="41"/>
      <c r="H41" s="41"/>
      <c r="I41" s="92"/>
      <c r="J41" s="92"/>
      <c r="K41" s="92"/>
      <c r="L41" s="46"/>
      <c r="M41" s="46"/>
    </row>
    <row r="42" spans="2:13" x14ac:dyDescent="0.45">
      <c r="B42" s="3" t="s">
        <v>71</v>
      </c>
      <c r="C42" s="40"/>
      <c r="D42" s="41"/>
      <c r="E42" s="41"/>
      <c r="F42" s="40"/>
      <c r="G42" s="41"/>
      <c r="H42" s="41"/>
      <c r="I42" s="92"/>
      <c r="J42" s="92"/>
      <c r="K42" s="92"/>
      <c r="L42" s="41"/>
      <c r="M42" s="41"/>
    </row>
    <row r="43" spans="2:13" x14ac:dyDescent="0.45">
      <c r="B43" s="3"/>
      <c r="C43" s="40"/>
      <c r="D43" s="41"/>
      <c r="E43" s="41"/>
      <c r="F43" s="40"/>
      <c r="G43" s="41"/>
      <c r="H43" s="41"/>
      <c r="I43" s="41"/>
      <c r="J43" s="41"/>
      <c r="K43" s="41"/>
      <c r="L43" s="41"/>
      <c r="M43" s="41"/>
    </row>
  </sheetData>
  <sheetProtection algorithmName="SHA-512" hashValue="WbfzmvWU1MV940yDFR+sG+1LVoh1Wnkf/kRm3qd7AeozXMS2SB5rpoIsyazp7e5HiN1zY9ln1PXEwRg9scB5aQ==" saltValue="0Ye4k4+OLZX3UHvK5FW2LA==" spinCount="100000" sheet="1" objects="1" scenarios="1"/>
  <mergeCells count="11">
    <mergeCell ref="C32:F33"/>
    <mergeCell ref="B32:B33"/>
    <mergeCell ref="I40:K42"/>
    <mergeCell ref="C36:F37"/>
    <mergeCell ref="C5:D5"/>
    <mergeCell ref="B26:C26"/>
    <mergeCell ref="B27:C27"/>
    <mergeCell ref="C4:D4"/>
    <mergeCell ref="F4:G4"/>
    <mergeCell ref="E9:F9"/>
    <mergeCell ref="E10:F10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Page &amp;P&amp;R</oddHeader>
    <oddFooter xml:space="preserve">&amp;LPump school dose calculator&amp;C&amp;"System Font,Regular"&amp;10&amp;K000000BCH Version 1&amp;RApril 2023
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BD400A-FDF5-C84E-B885-FD72AE1F71F7}">
          <x14:formula1>
            <xm:f>Codes!$A$14:$A$17</xm:f>
          </x14:formula1>
          <xm:sqref>C10 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3885-5B45-4EAE-878D-EB2B38DF80ED}">
  <dimension ref="B3:I30"/>
  <sheetViews>
    <sheetView showGridLines="0" view="pageBreakPreview" zoomScale="170" zoomScaleNormal="70" zoomScaleSheetLayoutView="170" zoomScalePageLayoutView="120" workbookViewId="0">
      <selection activeCell="I16" sqref="I16"/>
    </sheetView>
  </sheetViews>
  <sheetFormatPr defaultColWidth="11" defaultRowHeight="14.25" x14ac:dyDescent="0.45"/>
  <cols>
    <col min="1" max="1" width="3.125" style="14" customWidth="1"/>
    <col min="2" max="2" width="12" style="14" customWidth="1"/>
    <col min="3" max="3" width="10.875" style="14" customWidth="1"/>
    <col min="4" max="4" width="4.375" style="14" customWidth="1"/>
    <col min="5" max="5" width="14.625" style="14" customWidth="1"/>
    <col min="6" max="6" width="9.375" style="14" customWidth="1"/>
    <col min="7" max="7" width="2.5" style="14" customWidth="1"/>
    <col min="8" max="8" width="12.125" style="14" customWidth="1"/>
    <col min="9" max="9" width="10.125" style="14" customWidth="1"/>
    <col min="10" max="16384" width="11" style="14"/>
  </cols>
  <sheetData>
    <row r="3" spans="2:9" x14ac:dyDescent="0.45">
      <c r="B3" s="23" t="s">
        <v>0</v>
      </c>
      <c r="C3" s="58"/>
      <c r="D3" s="58"/>
      <c r="E3" s="58"/>
      <c r="F3" s="58"/>
      <c r="G3" s="58"/>
      <c r="H3" s="46"/>
      <c r="I3" s="46"/>
    </row>
    <row r="4" spans="2:9" x14ac:dyDescent="0.45">
      <c r="B4" s="24" t="s">
        <v>2</v>
      </c>
      <c r="C4" s="59">
        <f>Calculator!C4</f>
        <v>0</v>
      </c>
      <c r="D4" s="59"/>
      <c r="E4" s="25" t="s">
        <v>3</v>
      </c>
      <c r="F4" s="96">
        <f>Calculator!F4</f>
        <v>0</v>
      </c>
      <c r="G4" s="97"/>
      <c r="H4" s="46"/>
      <c r="I4" s="46"/>
    </row>
    <row r="5" spans="2:9" x14ac:dyDescent="0.45">
      <c r="B5" s="26" t="s">
        <v>5</v>
      </c>
      <c r="C5" s="60">
        <f>Calculator!C5</f>
        <v>0</v>
      </c>
      <c r="D5" s="61"/>
      <c r="E5" s="27" t="s">
        <v>6</v>
      </c>
      <c r="F5" s="61">
        <f ca="1">DATEDIF(C5,TODAY(),"Y")</f>
        <v>124</v>
      </c>
      <c r="G5" s="62" t="s">
        <v>72</v>
      </c>
      <c r="H5" s="46"/>
      <c r="I5" s="46"/>
    </row>
    <row r="6" spans="2:9" x14ac:dyDescent="0.45">
      <c r="B6" s="13" t="s">
        <v>73</v>
      </c>
      <c r="C6" s="50">
        <f>SUM((C8*24))</f>
        <v>0</v>
      </c>
      <c r="D6" s="46"/>
      <c r="E6" s="46"/>
      <c r="F6" s="46"/>
      <c r="G6" s="46"/>
      <c r="H6" s="46"/>
      <c r="I6" s="46"/>
    </row>
    <row r="7" spans="2:9" x14ac:dyDescent="0.45">
      <c r="B7" s="46" t="s">
        <v>23</v>
      </c>
      <c r="C7" s="40" t="s">
        <v>24</v>
      </c>
      <c r="D7" s="46"/>
      <c r="E7" s="46" t="s">
        <v>74</v>
      </c>
      <c r="F7" s="40" t="s">
        <v>75</v>
      </c>
      <c r="G7" s="46"/>
      <c r="H7" s="46" t="s">
        <v>76</v>
      </c>
      <c r="I7" s="40" t="s">
        <v>77</v>
      </c>
    </row>
    <row r="8" spans="2:9" x14ac:dyDescent="0.45">
      <c r="B8" s="41" t="s">
        <v>78</v>
      </c>
      <c r="C8" s="63">
        <f>SUM(Calculator!C11/24*1)</f>
        <v>0</v>
      </c>
      <c r="D8" s="46"/>
      <c r="E8" s="41" t="s">
        <v>79</v>
      </c>
      <c r="F8" s="64"/>
      <c r="G8" s="46"/>
      <c r="H8" s="41" t="s">
        <v>78</v>
      </c>
      <c r="I8" s="65"/>
    </row>
    <row r="9" spans="2:9" x14ac:dyDescent="0.45">
      <c r="B9" s="32" t="s">
        <v>28</v>
      </c>
      <c r="C9" s="33"/>
      <c r="D9" s="46"/>
      <c r="E9" s="41" t="s">
        <v>30</v>
      </c>
      <c r="F9" s="64"/>
      <c r="G9" s="46"/>
      <c r="H9" s="32" t="s">
        <v>28</v>
      </c>
      <c r="I9" s="33"/>
    </row>
    <row r="10" spans="2:9" x14ac:dyDescent="0.45">
      <c r="B10" s="32" t="s">
        <v>30</v>
      </c>
      <c r="C10" s="33"/>
      <c r="D10" s="46"/>
      <c r="E10" s="41" t="s">
        <v>32</v>
      </c>
      <c r="F10" s="64"/>
      <c r="G10" s="46"/>
      <c r="H10" s="32" t="s">
        <v>30</v>
      </c>
      <c r="I10" s="33"/>
    </row>
    <row r="11" spans="2:9" x14ac:dyDescent="0.45">
      <c r="B11" s="32" t="s">
        <v>32</v>
      </c>
      <c r="C11" s="33"/>
      <c r="D11" s="46"/>
      <c r="E11" s="41" t="s">
        <v>35</v>
      </c>
      <c r="F11" s="64"/>
      <c r="G11" s="46"/>
      <c r="H11" s="32" t="s">
        <v>32</v>
      </c>
      <c r="I11" s="33"/>
    </row>
    <row r="12" spans="2:9" x14ac:dyDescent="0.45">
      <c r="B12" s="32" t="s">
        <v>35</v>
      </c>
      <c r="C12" s="33"/>
      <c r="D12" s="46"/>
      <c r="E12" s="41"/>
      <c r="F12" s="66"/>
      <c r="G12" s="46"/>
      <c r="H12" s="32" t="s">
        <v>35</v>
      </c>
      <c r="I12" s="33"/>
    </row>
    <row r="13" spans="2:9" x14ac:dyDescent="0.45">
      <c r="B13" s="46"/>
      <c r="C13" s="40"/>
      <c r="D13" s="46"/>
      <c r="E13" s="46"/>
      <c r="F13" s="40"/>
      <c r="G13" s="46"/>
      <c r="H13" s="46"/>
      <c r="I13" s="40"/>
    </row>
    <row r="14" spans="2:9" x14ac:dyDescent="0.45">
      <c r="B14" s="46" t="s">
        <v>80</v>
      </c>
      <c r="C14" s="40" t="s">
        <v>39</v>
      </c>
      <c r="D14" s="46"/>
      <c r="E14" s="46" t="s">
        <v>81</v>
      </c>
      <c r="F14" s="67">
        <f>SUM(Calculator!C8*0.6)</f>
        <v>0</v>
      </c>
      <c r="G14" s="46"/>
      <c r="H14" s="46" t="s">
        <v>82</v>
      </c>
      <c r="I14" s="68">
        <f>Calculator!F7</f>
        <v>0</v>
      </c>
    </row>
    <row r="15" spans="2:9" x14ac:dyDescent="0.45">
      <c r="B15" s="41" t="s">
        <v>78</v>
      </c>
      <c r="C15" s="47">
        <v>5.5</v>
      </c>
      <c r="D15" s="46"/>
      <c r="E15" s="46" t="s">
        <v>83</v>
      </c>
      <c r="F15" s="63">
        <f>SUM(Calculator!C17*2.5)</f>
        <v>0</v>
      </c>
      <c r="G15" s="46"/>
      <c r="H15" s="46" t="s">
        <v>84</v>
      </c>
      <c r="I15" s="68">
        <f>Calculator!C8</f>
        <v>0</v>
      </c>
    </row>
    <row r="16" spans="2:9" x14ac:dyDescent="0.45">
      <c r="B16" s="69"/>
      <c r="C16" s="70"/>
      <c r="D16" s="46"/>
      <c r="E16" s="46" t="s">
        <v>85</v>
      </c>
      <c r="F16" s="67" t="str">
        <f>IF(F17&lt;20,"20",Calculator!C8*0.6)</f>
        <v>20</v>
      </c>
      <c r="G16" s="46"/>
      <c r="H16" s="46" t="s">
        <v>86</v>
      </c>
      <c r="I16" s="47" t="s">
        <v>87</v>
      </c>
    </row>
    <row r="17" spans="2:8" x14ac:dyDescent="0.45">
      <c r="B17" s="69"/>
      <c r="C17" s="70"/>
      <c r="D17" s="46"/>
      <c r="E17" s="46"/>
      <c r="F17" s="38">
        <f>SUM(Calculator!C8*0.6)</f>
        <v>0</v>
      </c>
      <c r="G17" s="46"/>
      <c r="H17" s="46"/>
    </row>
    <row r="18" spans="2:8" x14ac:dyDescent="0.45">
      <c r="B18" s="69"/>
      <c r="C18" s="70"/>
      <c r="D18" s="46"/>
      <c r="E18" s="46"/>
      <c r="F18" s="46"/>
      <c r="G18" s="46"/>
      <c r="H18" s="46"/>
    </row>
    <row r="19" spans="2:8" x14ac:dyDescent="0.45">
      <c r="B19" s="41"/>
      <c r="C19" s="46"/>
      <c r="D19" s="46"/>
      <c r="E19" s="46"/>
      <c r="F19" s="46"/>
      <c r="G19" s="46"/>
      <c r="H19" s="46"/>
    </row>
    <row r="20" spans="2:8" x14ac:dyDescent="0.45">
      <c r="B20" s="56" t="s">
        <v>88</v>
      </c>
      <c r="C20" s="98">
        <f>Calculator!C32</f>
        <v>0</v>
      </c>
      <c r="D20" s="98"/>
      <c r="E20" s="98"/>
      <c r="F20" s="99"/>
      <c r="G20" s="46"/>
      <c r="H20" s="46"/>
    </row>
    <row r="21" spans="2:8" x14ac:dyDescent="0.45">
      <c r="B21" s="57"/>
      <c r="C21" s="100"/>
      <c r="D21" s="100"/>
      <c r="E21" s="100"/>
      <c r="F21" s="101"/>
      <c r="G21" s="46"/>
      <c r="H21" s="46"/>
    </row>
    <row r="22" spans="2:8" x14ac:dyDescent="0.45">
      <c r="B22" s="46"/>
      <c r="C22" s="46"/>
      <c r="D22" s="46"/>
      <c r="E22" s="54">
        <f ca="1">TODAY()</f>
        <v>45427</v>
      </c>
      <c r="F22" s="71"/>
      <c r="G22" s="46"/>
      <c r="H22" s="46"/>
    </row>
    <row r="24" spans="2:8" x14ac:dyDescent="0.45">
      <c r="B24" s="90" t="s">
        <v>89</v>
      </c>
      <c r="C24" s="102"/>
      <c r="D24" s="98">
        <f>Calculator!C36</f>
        <v>0</v>
      </c>
      <c r="E24" s="98"/>
      <c r="F24" s="99"/>
      <c r="G24" s="46"/>
      <c r="H24" s="46"/>
    </row>
    <row r="25" spans="2:8" x14ac:dyDescent="0.45">
      <c r="B25" s="91"/>
      <c r="C25" s="103"/>
      <c r="D25" s="100"/>
      <c r="E25" s="100"/>
      <c r="F25" s="101"/>
      <c r="G25" s="46"/>
      <c r="H25" s="46"/>
    </row>
    <row r="26" spans="2:8" x14ac:dyDescent="0.45">
      <c r="B26" s="46"/>
      <c r="C26" s="46"/>
      <c r="D26" s="46"/>
      <c r="E26" s="54">
        <f ca="1">TODAY()</f>
        <v>45427</v>
      </c>
      <c r="F26" s="72"/>
      <c r="G26" s="46"/>
      <c r="H26" s="46"/>
    </row>
    <row r="27" spans="2:8" x14ac:dyDescent="0.45">
      <c r="B27" s="15" t="s">
        <v>66</v>
      </c>
      <c r="C27" s="46"/>
      <c r="D27" s="46"/>
      <c r="E27" s="46"/>
      <c r="F27" s="46"/>
      <c r="G27" s="46"/>
      <c r="H27" s="46"/>
    </row>
    <row r="28" spans="2:8" x14ac:dyDescent="0.45">
      <c r="B28" s="2" t="s">
        <v>68</v>
      </c>
      <c r="C28" s="46"/>
      <c r="D28" s="46"/>
      <c r="E28" s="46"/>
      <c r="F28" s="46"/>
      <c r="G28" s="46"/>
      <c r="H28" s="46"/>
    </row>
    <row r="29" spans="2:8" x14ac:dyDescent="0.45">
      <c r="B29" s="3" t="s">
        <v>70</v>
      </c>
      <c r="C29" s="46"/>
      <c r="D29" s="46"/>
      <c r="E29" s="46"/>
      <c r="F29" s="46"/>
      <c r="G29" s="46"/>
      <c r="H29" s="46"/>
    </row>
    <row r="30" spans="2:8" x14ac:dyDescent="0.45">
      <c r="B30" s="3" t="s">
        <v>71</v>
      </c>
      <c r="C30" s="46"/>
      <c r="D30" s="46"/>
      <c r="E30" s="46"/>
      <c r="F30" s="46"/>
      <c r="G30" s="46"/>
      <c r="H30" s="46"/>
    </row>
  </sheetData>
  <sheetProtection algorithmName="SHA-512" hashValue="ipGyEyhhHhz3TT7ZFlYMmZ8iYO6s260SxOW8KB+OQ+iPEMKvsMWgO9/3pgWD7a4E+jjEF06PgKpljCvUnnzzEQ==" saltValue="oj4V9mGPITRdKJXTQnzNeg==" spinCount="100000" sheet="1" objects="1" scenarios="1"/>
  <mergeCells count="4">
    <mergeCell ref="F4:G4"/>
    <mergeCell ref="C20:F21"/>
    <mergeCell ref="B24:C25"/>
    <mergeCell ref="D24:F25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Page &amp;P&amp;R</oddHeader>
    <oddFooter>&amp;LPump school dose calculator&amp;C&amp;"System Font,Regular"&amp;10&amp;K000000Version 1&amp;RJanuary 2021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F030536-290B-400C-A87D-A7A0B6B04BFA}">
          <x14:formula1>
            <xm:f>Codes!$F$10:$F$12</xm:f>
          </x14:formula1>
          <xm:sqref>C15</xm:sqref>
        </x14:dataValidation>
        <x14:dataValidation type="list" allowBlank="1" showInputMessage="1" showErrorMessage="1" xr:uid="{823DC88D-FBE7-42D9-AAAF-A8369083B678}">
          <x14:formula1>
            <xm:f>Codes!$E$10:$E$13</xm:f>
          </x14:formula1>
          <xm:sqref>I16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9634B-B616-4BB7-A595-9511BD585743}">
  <dimension ref="B3:I30"/>
  <sheetViews>
    <sheetView showGridLines="0" view="pageBreakPreview" zoomScale="160" zoomScaleNormal="70" zoomScaleSheetLayoutView="160" zoomScalePageLayoutView="120" workbookViewId="0">
      <selection activeCell="D11" sqref="D11"/>
    </sheetView>
  </sheetViews>
  <sheetFormatPr defaultColWidth="11" defaultRowHeight="14.25" x14ac:dyDescent="0.45"/>
  <cols>
    <col min="1" max="1" width="3.125" style="14" customWidth="1"/>
    <col min="2" max="2" width="12" style="14" customWidth="1"/>
    <col min="3" max="3" width="10.875" style="14" customWidth="1"/>
    <col min="4" max="4" width="4.375" style="14" customWidth="1"/>
    <col min="5" max="5" width="14.625" style="14" customWidth="1"/>
    <col min="6" max="6" width="9.375" style="14" customWidth="1"/>
    <col min="7" max="7" width="2.5" style="14" customWidth="1"/>
    <col min="8" max="8" width="12.125" style="14" customWidth="1"/>
    <col min="9" max="9" width="10.125" style="14" customWidth="1"/>
    <col min="10" max="16384" width="11" style="14"/>
  </cols>
  <sheetData>
    <row r="3" spans="2:9" x14ac:dyDescent="0.45">
      <c r="B3" s="23" t="s">
        <v>0</v>
      </c>
      <c r="C3" s="58"/>
      <c r="D3" s="58"/>
      <c r="E3" s="58"/>
      <c r="F3" s="58"/>
      <c r="G3" s="58"/>
      <c r="H3" s="46"/>
      <c r="I3" s="46"/>
    </row>
    <row r="4" spans="2:9" x14ac:dyDescent="0.45">
      <c r="B4" s="24" t="s">
        <v>2</v>
      </c>
      <c r="C4" s="59">
        <f>Calculator!C4</f>
        <v>0</v>
      </c>
      <c r="D4" s="59"/>
      <c r="E4" s="25" t="s">
        <v>3</v>
      </c>
      <c r="F4" s="96">
        <f>Calculator!F4</f>
        <v>0</v>
      </c>
      <c r="G4" s="97"/>
      <c r="H4" s="46"/>
      <c r="I4" s="46"/>
    </row>
    <row r="5" spans="2:9" x14ac:dyDescent="0.45">
      <c r="B5" s="26" t="s">
        <v>5</v>
      </c>
      <c r="C5" s="60">
        <f>Calculator!C5</f>
        <v>0</v>
      </c>
      <c r="D5" s="61"/>
      <c r="E5" s="27" t="s">
        <v>6</v>
      </c>
      <c r="F5" s="61">
        <f ca="1">DATEDIF(C5,TODAY(),"Y")</f>
        <v>124</v>
      </c>
      <c r="G5" s="62" t="s">
        <v>72</v>
      </c>
      <c r="H5" s="46"/>
      <c r="I5" s="46"/>
    </row>
    <row r="6" spans="2:9" x14ac:dyDescent="0.45">
      <c r="B6" s="13" t="s">
        <v>73</v>
      </c>
      <c r="C6" s="50">
        <f>SUM((C8*24))</f>
        <v>0</v>
      </c>
      <c r="D6" s="46"/>
      <c r="E6" s="46"/>
      <c r="F6" s="46"/>
      <c r="G6" s="46"/>
      <c r="H6" s="46"/>
      <c r="I6" s="46"/>
    </row>
    <row r="7" spans="2:9" x14ac:dyDescent="0.45">
      <c r="B7" s="46" t="s">
        <v>23</v>
      </c>
      <c r="C7" s="40" t="s">
        <v>24</v>
      </c>
      <c r="D7" s="46"/>
      <c r="E7" s="46" t="s">
        <v>74</v>
      </c>
      <c r="F7" s="40" t="s">
        <v>75</v>
      </c>
      <c r="G7" s="46"/>
      <c r="H7" s="46" t="s">
        <v>76</v>
      </c>
      <c r="I7" s="40" t="s">
        <v>77</v>
      </c>
    </row>
    <row r="8" spans="2:9" x14ac:dyDescent="0.45">
      <c r="B8" s="41" t="s">
        <v>78</v>
      </c>
      <c r="C8" s="63">
        <f>SUM(Calculator!C11/24*1)</f>
        <v>0</v>
      </c>
      <c r="D8" s="46"/>
      <c r="E8" s="41" t="s">
        <v>79</v>
      </c>
      <c r="F8" s="64"/>
      <c r="G8" s="46"/>
      <c r="H8" s="41" t="s">
        <v>78</v>
      </c>
      <c r="I8" s="65"/>
    </row>
    <row r="9" spans="2:9" x14ac:dyDescent="0.45">
      <c r="B9" s="32" t="s">
        <v>28</v>
      </c>
      <c r="C9" s="33"/>
      <c r="D9" s="46"/>
      <c r="E9" s="41" t="s">
        <v>30</v>
      </c>
      <c r="F9" s="64"/>
      <c r="G9" s="46"/>
      <c r="H9" s="32" t="s">
        <v>28</v>
      </c>
      <c r="I9" s="33"/>
    </row>
    <row r="10" spans="2:9" x14ac:dyDescent="0.45">
      <c r="B10" s="32" t="s">
        <v>30</v>
      </c>
      <c r="C10" s="33"/>
      <c r="D10" s="46"/>
      <c r="E10" s="41" t="s">
        <v>32</v>
      </c>
      <c r="F10" s="64"/>
      <c r="G10" s="46"/>
      <c r="H10" s="32" t="s">
        <v>30</v>
      </c>
      <c r="I10" s="33"/>
    </row>
    <row r="11" spans="2:9" x14ac:dyDescent="0.45">
      <c r="B11" s="32" t="s">
        <v>32</v>
      </c>
      <c r="C11" s="33"/>
      <c r="D11" s="46"/>
      <c r="E11" s="41" t="s">
        <v>90</v>
      </c>
      <c r="F11" s="64"/>
      <c r="G11" s="46"/>
      <c r="H11" s="32" t="s">
        <v>32</v>
      </c>
      <c r="I11" s="33"/>
    </row>
    <row r="12" spans="2:9" x14ac:dyDescent="0.45">
      <c r="B12" s="32" t="s">
        <v>35</v>
      </c>
      <c r="C12" s="33"/>
      <c r="D12" s="46"/>
      <c r="E12" s="41"/>
      <c r="F12" s="66"/>
      <c r="G12" s="46"/>
      <c r="H12" s="32" t="s">
        <v>35</v>
      </c>
      <c r="I12" s="33"/>
    </row>
    <row r="13" spans="2:9" x14ac:dyDescent="0.45">
      <c r="B13" s="46"/>
      <c r="C13" s="40"/>
      <c r="D13" s="46"/>
      <c r="E13" s="46"/>
      <c r="F13" s="40"/>
      <c r="G13" s="46"/>
      <c r="H13" s="46"/>
      <c r="I13" s="40"/>
    </row>
    <row r="14" spans="2:9" x14ac:dyDescent="0.45">
      <c r="B14" s="46" t="s">
        <v>80</v>
      </c>
      <c r="C14" s="40" t="s">
        <v>39</v>
      </c>
      <c r="D14" s="46"/>
      <c r="E14" s="46" t="s">
        <v>81</v>
      </c>
      <c r="F14" s="67">
        <f>SUM(Calculator!C8*0.6)</f>
        <v>0</v>
      </c>
      <c r="G14" s="46"/>
      <c r="H14" s="46" t="s">
        <v>82</v>
      </c>
      <c r="I14" s="68">
        <f>Calculator!F7</f>
        <v>0</v>
      </c>
    </row>
    <row r="15" spans="2:9" x14ac:dyDescent="0.45">
      <c r="B15" s="41" t="s">
        <v>78</v>
      </c>
      <c r="C15" s="47">
        <v>6.1</v>
      </c>
      <c r="D15" s="46"/>
      <c r="E15" s="46" t="s">
        <v>83</v>
      </c>
      <c r="F15" s="63">
        <f>SUM(Calculator!C17*2.5)</f>
        <v>0</v>
      </c>
      <c r="G15" s="46"/>
      <c r="H15" s="46" t="s">
        <v>84</v>
      </c>
      <c r="I15" s="68">
        <f>Calculator!C8</f>
        <v>0</v>
      </c>
    </row>
    <row r="16" spans="2:9" x14ac:dyDescent="0.45">
      <c r="B16" s="69"/>
      <c r="C16" s="70"/>
      <c r="D16" s="46"/>
      <c r="E16" s="46" t="s">
        <v>85</v>
      </c>
      <c r="F16" s="67" t="str">
        <f>IF(H17&lt;20,"20",Calculator!C8*0.6)</f>
        <v>20</v>
      </c>
      <c r="G16" s="46"/>
      <c r="H16" s="46" t="s">
        <v>86</v>
      </c>
      <c r="I16" s="47" t="s">
        <v>87</v>
      </c>
    </row>
    <row r="17" spans="2:8" x14ac:dyDescent="0.45">
      <c r="B17" s="69"/>
      <c r="C17" s="70"/>
      <c r="D17" s="46"/>
      <c r="E17" s="46" t="s">
        <v>91</v>
      </c>
      <c r="F17" s="67">
        <f>SUM(Calculator!C8*3)</f>
        <v>0</v>
      </c>
      <c r="G17" s="46"/>
      <c r="H17" s="38">
        <f>SUM(Calculator!C8*0.6)</f>
        <v>0</v>
      </c>
    </row>
    <row r="18" spans="2:8" x14ac:dyDescent="0.45">
      <c r="B18" s="69"/>
      <c r="C18" s="70"/>
      <c r="D18" s="46"/>
      <c r="E18" s="46" t="s">
        <v>92</v>
      </c>
      <c r="F18" s="46"/>
      <c r="G18" s="46"/>
      <c r="H18" s="46"/>
    </row>
    <row r="19" spans="2:8" x14ac:dyDescent="0.45">
      <c r="B19" s="41"/>
      <c r="C19" s="46"/>
      <c r="D19" s="46"/>
      <c r="E19" s="46"/>
      <c r="F19" s="46"/>
      <c r="G19" s="46"/>
      <c r="H19" s="46"/>
    </row>
    <row r="20" spans="2:8" x14ac:dyDescent="0.45">
      <c r="B20" s="56" t="s">
        <v>88</v>
      </c>
      <c r="C20" s="98">
        <f>Calculator!C32</f>
        <v>0</v>
      </c>
      <c r="D20" s="98"/>
      <c r="E20" s="98"/>
      <c r="F20" s="99"/>
      <c r="G20" s="46"/>
      <c r="H20" s="46"/>
    </row>
    <row r="21" spans="2:8" x14ac:dyDescent="0.45">
      <c r="B21" s="57"/>
      <c r="C21" s="100"/>
      <c r="D21" s="100"/>
      <c r="E21" s="100"/>
      <c r="F21" s="101"/>
      <c r="G21" s="46"/>
      <c r="H21" s="46"/>
    </row>
    <row r="22" spans="2:8" x14ac:dyDescent="0.45">
      <c r="B22" s="46"/>
      <c r="C22" s="46"/>
      <c r="D22" s="46"/>
      <c r="E22" s="54">
        <f ca="1">TODAY()</f>
        <v>45427</v>
      </c>
      <c r="F22" s="71"/>
      <c r="G22" s="46"/>
      <c r="H22" s="46"/>
    </row>
    <row r="24" spans="2:8" x14ac:dyDescent="0.45">
      <c r="B24" s="90" t="s">
        <v>89</v>
      </c>
      <c r="C24" s="102"/>
      <c r="D24" s="98">
        <f>Calculator!C36</f>
        <v>0</v>
      </c>
      <c r="E24" s="98"/>
      <c r="F24" s="99"/>
      <c r="G24" s="46"/>
      <c r="H24" s="46"/>
    </row>
    <row r="25" spans="2:8" x14ac:dyDescent="0.45">
      <c r="B25" s="91"/>
      <c r="C25" s="103"/>
      <c r="D25" s="100"/>
      <c r="E25" s="100"/>
      <c r="F25" s="101"/>
      <c r="G25" s="46"/>
      <c r="H25" s="46"/>
    </row>
    <row r="26" spans="2:8" x14ac:dyDescent="0.45">
      <c r="B26" s="46"/>
      <c r="C26" s="46"/>
      <c r="D26" s="46"/>
      <c r="E26" s="54">
        <f ca="1">TODAY()</f>
        <v>45427</v>
      </c>
      <c r="F26" s="72"/>
      <c r="G26" s="46"/>
      <c r="H26" s="46"/>
    </row>
    <row r="27" spans="2:8" x14ac:dyDescent="0.45">
      <c r="B27" s="15" t="s">
        <v>66</v>
      </c>
      <c r="C27" s="46"/>
      <c r="D27" s="46"/>
      <c r="E27" s="46"/>
      <c r="F27" s="46"/>
      <c r="G27" s="46"/>
      <c r="H27" s="46"/>
    </row>
    <row r="28" spans="2:8" x14ac:dyDescent="0.45">
      <c r="B28" s="2" t="s">
        <v>68</v>
      </c>
      <c r="C28" s="46"/>
      <c r="D28" s="46"/>
      <c r="E28" s="46"/>
      <c r="F28" s="46"/>
      <c r="G28" s="46"/>
      <c r="H28" s="46"/>
    </row>
    <row r="29" spans="2:8" x14ac:dyDescent="0.45">
      <c r="B29" s="3" t="s">
        <v>70</v>
      </c>
      <c r="C29" s="46"/>
      <c r="D29" s="46"/>
      <c r="E29" s="46"/>
      <c r="F29" s="46"/>
      <c r="G29" s="46"/>
      <c r="H29" s="46"/>
    </row>
    <row r="30" spans="2:8" x14ac:dyDescent="0.45">
      <c r="B30" s="3" t="s">
        <v>71</v>
      </c>
      <c r="C30" s="46"/>
      <c r="D30" s="46"/>
      <c r="E30" s="46"/>
      <c r="F30" s="46"/>
      <c r="G30" s="46"/>
      <c r="H30" s="46"/>
    </row>
  </sheetData>
  <sheetProtection algorithmName="SHA-512" hashValue="BZbtZ4C9QinhYdiQFC+ROdva9nzoGoxyZnDJC3SUds+9XdTuQMhcaMRCnFxkH/3ipQleSbMFUSWKEDUcaoFbjQ==" saltValue="cfaNuZ8M7Cw5FUH0EJIREA==" spinCount="100000" sheet="1" objects="1" scenarios="1"/>
  <mergeCells count="4">
    <mergeCell ref="F4:G4"/>
    <mergeCell ref="C20:F21"/>
    <mergeCell ref="B24:C25"/>
    <mergeCell ref="D24:F25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Page &amp;P&amp;R</oddHeader>
    <oddFooter>&amp;LPump school dose calculator&amp;C&amp;"System Font,Regular"&amp;10&amp;K000000Version 1&amp;RJanuary 2021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1CCF672-2418-439B-89CF-FFFD8E0818E9}">
          <x14:formula1>
            <xm:f>Codes!$E$10:$E$13</xm:f>
          </x14:formula1>
          <xm:sqref>I16</xm:sqref>
        </x14:dataValidation>
        <x14:dataValidation type="list" allowBlank="1" showInputMessage="1" showErrorMessage="1" xr:uid="{E38DF879-57B6-4B9B-BDDF-650B1D15EF36}">
          <x14:formula1>
            <xm:f>Codes!$F$10:$F$12</xm:f>
          </x14:formula1>
          <xm:sqref>C15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04254-7DB9-4C38-BCB8-7C582AB0B845}">
  <dimension ref="B3:I30"/>
  <sheetViews>
    <sheetView showGridLines="0" view="pageBreakPreview" zoomScale="180" zoomScaleNormal="70" zoomScaleSheetLayoutView="180" zoomScalePageLayoutView="120" workbookViewId="0">
      <selection activeCell="I11" sqref="I11"/>
    </sheetView>
  </sheetViews>
  <sheetFormatPr defaultColWidth="11" defaultRowHeight="14.25" x14ac:dyDescent="0.45"/>
  <cols>
    <col min="1" max="1" width="3.125" style="14" customWidth="1"/>
    <col min="2" max="2" width="12" style="14" customWidth="1"/>
    <col min="3" max="3" width="10.875" style="14" customWidth="1"/>
    <col min="4" max="4" width="4.375" style="14" customWidth="1"/>
    <col min="5" max="5" width="14.625" style="14" customWidth="1"/>
    <col min="6" max="6" width="9.375" style="14" customWidth="1"/>
    <col min="7" max="7" width="2.5" style="14" customWidth="1"/>
    <col min="8" max="8" width="12.125" style="14" customWidth="1"/>
    <col min="9" max="9" width="10.125" style="14" customWidth="1"/>
    <col min="10" max="16384" width="11" style="14"/>
  </cols>
  <sheetData>
    <row r="3" spans="2:9" x14ac:dyDescent="0.45">
      <c r="B3" s="23" t="s">
        <v>0</v>
      </c>
      <c r="C3" s="58"/>
      <c r="D3" s="58"/>
      <c r="E3" s="58"/>
      <c r="F3" s="58"/>
      <c r="G3" s="58"/>
      <c r="H3" s="46"/>
      <c r="I3" s="46"/>
    </row>
    <row r="4" spans="2:9" x14ac:dyDescent="0.45">
      <c r="B4" s="24" t="s">
        <v>2</v>
      </c>
      <c r="C4" s="59">
        <f>Calculator!C4</f>
        <v>0</v>
      </c>
      <c r="D4" s="59"/>
      <c r="E4" s="25" t="s">
        <v>3</v>
      </c>
      <c r="F4" s="96">
        <f>Calculator!F4</f>
        <v>0</v>
      </c>
      <c r="G4" s="97"/>
      <c r="H4" s="46"/>
      <c r="I4" s="46"/>
    </row>
    <row r="5" spans="2:9" x14ac:dyDescent="0.45">
      <c r="B5" s="26" t="s">
        <v>5</v>
      </c>
      <c r="C5" s="60">
        <f>Calculator!C5</f>
        <v>0</v>
      </c>
      <c r="D5" s="61"/>
      <c r="E5" s="27" t="s">
        <v>6</v>
      </c>
      <c r="F5" s="61">
        <f ca="1">DATEDIF(C5,TODAY(),"Y")</f>
        <v>124</v>
      </c>
      <c r="G5" s="62" t="s">
        <v>72</v>
      </c>
      <c r="H5" s="46"/>
      <c r="I5" s="46"/>
    </row>
    <row r="6" spans="2:9" x14ac:dyDescent="0.45">
      <c r="B6" s="13" t="s">
        <v>73</v>
      </c>
      <c r="C6" s="50">
        <f>SUM((C8*24))</f>
        <v>0</v>
      </c>
      <c r="D6" s="46"/>
      <c r="E6" s="46"/>
      <c r="F6" s="46"/>
      <c r="G6" s="46"/>
      <c r="H6" s="46"/>
      <c r="I6" s="46"/>
    </row>
    <row r="7" spans="2:9" x14ac:dyDescent="0.45">
      <c r="B7" s="46" t="s">
        <v>23</v>
      </c>
      <c r="C7" s="40" t="s">
        <v>24</v>
      </c>
      <c r="D7" s="46"/>
      <c r="E7" s="46" t="s">
        <v>74</v>
      </c>
      <c r="F7" s="40" t="s">
        <v>75</v>
      </c>
      <c r="G7" s="46"/>
      <c r="H7" s="46" t="s">
        <v>76</v>
      </c>
      <c r="I7" s="40" t="s">
        <v>77</v>
      </c>
    </row>
    <row r="8" spans="2:9" x14ac:dyDescent="0.45">
      <c r="B8" s="41" t="s">
        <v>78</v>
      </c>
      <c r="C8" s="63">
        <f>SUM(Calculator!C11/24*1)</f>
        <v>0</v>
      </c>
      <c r="D8" s="46"/>
      <c r="E8" s="41" t="s">
        <v>93</v>
      </c>
      <c r="F8" s="64"/>
      <c r="G8" s="46"/>
      <c r="H8" s="41" t="s">
        <v>93</v>
      </c>
      <c r="I8" s="64"/>
    </row>
    <row r="9" spans="2:9" x14ac:dyDescent="0.45">
      <c r="B9" s="32" t="s">
        <v>28</v>
      </c>
      <c r="C9" s="33"/>
      <c r="D9" s="46"/>
      <c r="E9" s="41" t="s">
        <v>30</v>
      </c>
      <c r="F9" s="64"/>
      <c r="G9" s="46"/>
      <c r="H9" s="41" t="s">
        <v>30</v>
      </c>
      <c r="I9" s="64"/>
    </row>
    <row r="10" spans="2:9" x14ac:dyDescent="0.45">
      <c r="B10" s="39"/>
      <c r="C10" s="33"/>
      <c r="D10" s="46"/>
      <c r="E10" s="41" t="s">
        <v>32</v>
      </c>
      <c r="F10" s="64"/>
      <c r="G10" s="46"/>
      <c r="H10" s="41" t="s">
        <v>32</v>
      </c>
      <c r="I10" s="64"/>
    </row>
    <row r="11" spans="2:9" x14ac:dyDescent="0.45">
      <c r="B11" s="32" t="s">
        <v>32</v>
      </c>
      <c r="C11" s="33"/>
      <c r="D11" s="46"/>
      <c r="E11" s="41" t="s">
        <v>94</v>
      </c>
      <c r="F11" s="64"/>
      <c r="G11" s="46"/>
      <c r="H11" s="41" t="s">
        <v>94</v>
      </c>
      <c r="I11" s="64"/>
    </row>
    <row r="12" spans="2:9" x14ac:dyDescent="0.45">
      <c r="B12" s="32" t="s">
        <v>35</v>
      </c>
      <c r="C12" s="33"/>
      <c r="D12" s="46"/>
      <c r="E12" s="104" t="s">
        <v>95</v>
      </c>
      <c r="F12" s="104"/>
      <c r="G12" s="46"/>
      <c r="H12" s="41"/>
      <c r="I12" s="66"/>
    </row>
    <row r="13" spans="2:9" x14ac:dyDescent="0.45">
      <c r="B13" s="46"/>
      <c r="C13" s="40"/>
      <c r="D13" s="46"/>
      <c r="E13" s="46"/>
      <c r="F13" s="40"/>
      <c r="G13" s="46"/>
      <c r="H13" s="46"/>
      <c r="I13" s="40"/>
    </row>
    <row r="14" spans="2:9" x14ac:dyDescent="0.45">
      <c r="B14" s="46" t="s">
        <v>80</v>
      </c>
      <c r="C14" s="40" t="s">
        <v>39</v>
      </c>
      <c r="D14" s="46"/>
      <c r="E14" s="46" t="s">
        <v>81</v>
      </c>
      <c r="F14" s="67">
        <f>SUM(Calculator!C8*0.6)</f>
        <v>0</v>
      </c>
      <c r="G14" s="46"/>
      <c r="H14" s="46" t="s">
        <v>82</v>
      </c>
      <c r="I14" s="68">
        <f>Calculator!F7</f>
        <v>0</v>
      </c>
    </row>
    <row r="15" spans="2:9" x14ac:dyDescent="0.45">
      <c r="B15" s="41" t="s">
        <v>78</v>
      </c>
      <c r="C15" s="47">
        <v>6.1</v>
      </c>
      <c r="D15" s="46"/>
      <c r="E15" s="46" t="s">
        <v>83</v>
      </c>
      <c r="F15" s="63">
        <f>SUM(Calculator!C17*2.5)</f>
        <v>0</v>
      </c>
      <c r="G15" s="46"/>
      <c r="H15" s="46" t="s">
        <v>84</v>
      </c>
      <c r="I15" s="68">
        <f>Calculator!C8</f>
        <v>0</v>
      </c>
    </row>
    <row r="16" spans="2:9" x14ac:dyDescent="0.45">
      <c r="B16" s="69"/>
      <c r="C16" s="70"/>
      <c r="D16" s="46"/>
      <c r="E16" s="46" t="s">
        <v>96</v>
      </c>
      <c r="F16" s="67" t="str">
        <f>IF(F17&lt;20,"20",Calculator!C8*0.6)</f>
        <v>20</v>
      </c>
      <c r="G16" s="46"/>
      <c r="H16" s="46" t="s">
        <v>86</v>
      </c>
      <c r="I16" s="47" t="s">
        <v>97</v>
      </c>
    </row>
    <row r="17" spans="2:8" x14ac:dyDescent="0.45">
      <c r="B17" s="69"/>
      <c r="C17" s="70"/>
      <c r="D17" s="46"/>
      <c r="E17" s="46"/>
      <c r="F17" s="38">
        <f>SUM(Calculator!C8*0.6)</f>
        <v>0</v>
      </c>
      <c r="G17" s="46"/>
      <c r="H17" s="46"/>
    </row>
    <row r="18" spans="2:8" x14ac:dyDescent="0.45">
      <c r="B18" s="69"/>
      <c r="C18" s="70"/>
      <c r="D18" s="46"/>
      <c r="E18" s="46"/>
      <c r="F18" s="46"/>
      <c r="G18" s="46"/>
      <c r="H18" s="46"/>
    </row>
    <row r="19" spans="2:8" x14ac:dyDescent="0.45">
      <c r="B19" s="41"/>
      <c r="C19" s="46"/>
      <c r="D19" s="46"/>
      <c r="E19" s="46"/>
      <c r="F19" s="46"/>
      <c r="G19" s="46"/>
      <c r="H19" s="46"/>
    </row>
    <row r="20" spans="2:8" x14ac:dyDescent="0.45">
      <c r="B20" s="56" t="s">
        <v>88</v>
      </c>
      <c r="C20" s="98">
        <f>Calculator!C32</f>
        <v>0</v>
      </c>
      <c r="D20" s="98"/>
      <c r="E20" s="98"/>
      <c r="F20" s="99"/>
      <c r="G20" s="46"/>
      <c r="H20" s="46"/>
    </row>
    <row r="21" spans="2:8" x14ac:dyDescent="0.45">
      <c r="B21" s="57"/>
      <c r="C21" s="100"/>
      <c r="D21" s="100"/>
      <c r="E21" s="100"/>
      <c r="F21" s="101"/>
      <c r="G21" s="46"/>
      <c r="H21" s="46"/>
    </row>
    <row r="22" spans="2:8" x14ac:dyDescent="0.45">
      <c r="B22" s="46"/>
      <c r="C22" s="46"/>
      <c r="D22" s="46"/>
      <c r="E22" s="54">
        <f ca="1">TODAY()</f>
        <v>45427</v>
      </c>
      <c r="F22" s="71"/>
      <c r="G22" s="46"/>
      <c r="H22" s="46"/>
    </row>
    <row r="24" spans="2:8" x14ac:dyDescent="0.45">
      <c r="B24" s="90" t="s">
        <v>89</v>
      </c>
      <c r="C24" s="102"/>
      <c r="D24" s="98">
        <f>Calculator!C36</f>
        <v>0</v>
      </c>
      <c r="E24" s="98"/>
      <c r="F24" s="99"/>
      <c r="G24" s="46"/>
      <c r="H24" s="46"/>
    </row>
    <row r="25" spans="2:8" x14ac:dyDescent="0.45">
      <c r="B25" s="91"/>
      <c r="C25" s="103"/>
      <c r="D25" s="100"/>
      <c r="E25" s="100"/>
      <c r="F25" s="101"/>
      <c r="G25" s="46"/>
      <c r="H25" s="46"/>
    </row>
    <row r="26" spans="2:8" x14ac:dyDescent="0.45">
      <c r="B26" s="46"/>
      <c r="C26" s="46"/>
      <c r="D26" s="46"/>
      <c r="E26" s="54">
        <f ca="1">TODAY()</f>
        <v>45427</v>
      </c>
      <c r="F26" s="72"/>
      <c r="G26" s="46"/>
      <c r="H26" s="46"/>
    </row>
    <row r="27" spans="2:8" x14ac:dyDescent="0.45">
      <c r="B27" s="15" t="s">
        <v>66</v>
      </c>
      <c r="C27" s="46"/>
      <c r="D27" s="46"/>
      <c r="E27" s="46"/>
      <c r="F27" s="46"/>
      <c r="G27" s="46"/>
      <c r="H27" s="46"/>
    </row>
    <row r="28" spans="2:8" x14ac:dyDescent="0.45">
      <c r="B28" s="2" t="s">
        <v>68</v>
      </c>
      <c r="C28" s="46"/>
      <c r="D28" s="46"/>
      <c r="E28" s="46"/>
      <c r="F28" s="46"/>
      <c r="G28" s="46"/>
      <c r="H28" s="46"/>
    </row>
    <row r="29" spans="2:8" x14ac:dyDescent="0.45">
      <c r="B29" s="3" t="s">
        <v>70</v>
      </c>
      <c r="C29" s="46"/>
      <c r="D29" s="46"/>
      <c r="E29" s="46"/>
      <c r="F29" s="46"/>
      <c r="G29" s="46"/>
      <c r="H29" s="46"/>
    </row>
    <row r="30" spans="2:8" x14ac:dyDescent="0.45">
      <c r="B30" s="3" t="s">
        <v>71</v>
      </c>
      <c r="C30" s="46"/>
      <c r="D30" s="46"/>
      <c r="E30" s="46"/>
      <c r="F30" s="46"/>
      <c r="G30" s="46"/>
      <c r="H30" s="46"/>
    </row>
  </sheetData>
  <sheetProtection password="E63C" sheet="1" objects="1" scenarios="1"/>
  <mergeCells count="5">
    <mergeCell ref="F4:G4"/>
    <mergeCell ref="C20:F21"/>
    <mergeCell ref="B24:C25"/>
    <mergeCell ref="D24:F25"/>
    <mergeCell ref="E12:F12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Page &amp;P&amp;R</oddHeader>
    <oddFooter>&amp;LPump school dose calculator&amp;C&amp;"System Font,Regular"&amp;10&amp;K000000Version 1&amp;RJanuary 2021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4811679-FBD1-4258-82A0-6DEB2B99C468}">
          <x14:formula1>
            <xm:f>Codes!$E$10:$E$13</xm:f>
          </x14:formula1>
          <xm:sqref>I16</xm:sqref>
        </x14:dataValidation>
        <x14:dataValidation type="list" allowBlank="1" showInputMessage="1" showErrorMessage="1" xr:uid="{8A469D50-AB09-43F8-924E-427A6497B90A}">
          <x14:formula1>
            <xm:f>Codes!$F$11:$F$13</xm:f>
          </x14:formula1>
          <xm:sqref>C15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02051-FCF2-41CD-88AE-70526C79B113}">
  <dimension ref="B3:I32"/>
  <sheetViews>
    <sheetView showGridLines="0" view="pageBreakPreview" zoomScale="150" zoomScaleNormal="70" zoomScaleSheetLayoutView="150" zoomScalePageLayoutView="120" workbookViewId="0">
      <selection activeCell="I21" sqref="I21"/>
    </sheetView>
  </sheetViews>
  <sheetFormatPr defaultColWidth="11" defaultRowHeight="14.25" x14ac:dyDescent="0.45"/>
  <cols>
    <col min="1" max="1" width="3.125" style="14" customWidth="1"/>
    <col min="2" max="2" width="12" style="14" customWidth="1"/>
    <col min="3" max="3" width="10.875" style="14" customWidth="1"/>
    <col min="4" max="4" width="4.375" style="14" customWidth="1"/>
    <col min="5" max="5" width="14.625" style="14" customWidth="1"/>
    <col min="6" max="6" width="9.375" style="14" customWidth="1"/>
    <col min="7" max="7" width="2.5" style="14" customWidth="1"/>
    <col min="8" max="8" width="12.125" style="14" customWidth="1"/>
    <col min="9" max="9" width="10.125" style="14" customWidth="1"/>
    <col min="10" max="16384" width="11" style="14"/>
  </cols>
  <sheetData>
    <row r="3" spans="2:9" x14ac:dyDescent="0.45">
      <c r="B3" s="23" t="s">
        <v>0</v>
      </c>
      <c r="C3" s="58"/>
      <c r="D3" s="58"/>
      <c r="E3" s="58"/>
      <c r="F3" s="58"/>
      <c r="G3" s="58"/>
      <c r="H3" s="46"/>
      <c r="I3" s="46"/>
    </row>
    <row r="4" spans="2:9" x14ac:dyDescent="0.45">
      <c r="B4" s="24" t="s">
        <v>2</v>
      </c>
      <c r="C4" s="59">
        <f>Calculator!C4</f>
        <v>0</v>
      </c>
      <c r="D4" s="59"/>
      <c r="E4" s="25" t="s">
        <v>3</v>
      </c>
      <c r="F4" s="96">
        <v>7000154012</v>
      </c>
      <c r="G4" s="97"/>
      <c r="H4" s="46"/>
      <c r="I4" s="46"/>
    </row>
    <row r="5" spans="2:9" x14ac:dyDescent="0.45">
      <c r="B5" s="26" t="s">
        <v>5</v>
      </c>
      <c r="C5" s="60">
        <f>Calculator!C5</f>
        <v>0</v>
      </c>
      <c r="D5" s="61"/>
      <c r="E5" s="27" t="s">
        <v>6</v>
      </c>
      <c r="F5" s="61">
        <f ca="1">DATEDIF(C5,TODAY(),"Y")</f>
        <v>124</v>
      </c>
      <c r="G5" s="62" t="s">
        <v>72</v>
      </c>
      <c r="H5" s="46"/>
      <c r="I5" s="46"/>
    </row>
    <row r="6" spans="2:9" x14ac:dyDescent="0.45">
      <c r="B6" s="13" t="s">
        <v>73</v>
      </c>
      <c r="C6" s="73">
        <f>Calculator!C11</f>
        <v>0</v>
      </c>
      <c r="D6" s="46"/>
      <c r="E6" s="46"/>
      <c r="F6" s="46"/>
      <c r="G6" s="46"/>
      <c r="H6" s="46"/>
      <c r="I6" s="46"/>
    </row>
    <row r="7" spans="2:9" x14ac:dyDescent="0.45">
      <c r="B7" s="46" t="s">
        <v>23</v>
      </c>
      <c r="C7" s="40" t="s">
        <v>24</v>
      </c>
      <c r="D7" s="46"/>
      <c r="E7" s="46" t="s">
        <v>74</v>
      </c>
      <c r="F7" s="40" t="s">
        <v>75</v>
      </c>
      <c r="G7" s="46"/>
      <c r="H7" s="46" t="s">
        <v>76</v>
      </c>
      <c r="I7" s="40" t="s">
        <v>77</v>
      </c>
    </row>
    <row r="8" spans="2:9" x14ac:dyDescent="0.45">
      <c r="B8" s="41" t="s">
        <v>26</v>
      </c>
      <c r="C8" s="20">
        <f>C6/24*0.8</f>
        <v>0</v>
      </c>
      <c r="D8" s="46"/>
      <c r="E8" s="41" t="s">
        <v>26</v>
      </c>
      <c r="F8" s="64"/>
      <c r="G8" s="46"/>
      <c r="H8" s="41" t="s">
        <v>26</v>
      </c>
      <c r="I8" s="64"/>
    </row>
    <row r="9" spans="2:9" x14ac:dyDescent="0.45">
      <c r="B9" s="41" t="s">
        <v>28</v>
      </c>
      <c r="C9" s="20">
        <f>C6/24*1.15</f>
        <v>0</v>
      </c>
      <c r="D9" s="46"/>
      <c r="E9" s="41" t="s">
        <v>28</v>
      </c>
      <c r="F9" s="64"/>
      <c r="G9" s="46"/>
      <c r="H9" s="41" t="s">
        <v>28</v>
      </c>
      <c r="I9" s="64"/>
    </row>
    <row r="10" spans="2:9" x14ac:dyDescent="0.45">
      <c r="B10" s="41" t="s">
        <v>30</v>
      </c>
      <c r="C10" s="20">
        <f>C6/24</f>
        <v>0</v>
      </c>
      <c r="D10" s="46"/>
      <c r="E10" s="41" t="s">
        <v>30</v>
      </c>
      <c r="F10" s="64"/>
      <c r="G10" s="46"/>
      <c r="H10" s="41" t="s">
        <v>30</v>
      </c>
      <c r="I10" s="64"/>
    </row>
    <row r="11" spans="2:9" x14ac:dyDescent="0.45">
      <c r="B11" s="41" t="s">
        <v>32</v>
      </c>
      <c r="C11" s="20">
        <f>C6/24*1.05</f>
        <v>0</v>
      </c>
      <c r="D11" s="46"/>
      <c r="E11" s="41" t="s">
        <v>32</v>
      </c>
      <c r="F11" s="64"/>
      <c r="G11" s="46"/>
      <c r="H11" s="41" t="s">
        <v>32</v>
      </c>
      <c r="I11" s="64"/>
    </row>
    <row r="12" spans="2:9" x14ac:dyDescent="0.45">
      <c r="B12" s="41" t="s">
        <v>35</v>
      </c>
      <c r="C12" s="20">
        <f>C6/24*1.15</f>
        <v>0</v>
      </c>
      <c r="D12" s="46"/>
      <c r="E12" s="41" t="s">
        <v>35</v>
      </c>
      <c r="F12" s="64"/>
      <c r="G12" s="46"/>
      <c r="H12" s="41" t="s">
        <v>35</v>
      </c>
      <c r="I12" s="64"/>
    </row>
    <row r="13" spans="2:9" x14ac:dyDescent="0.45">
      <c r="B13" s="46"/>
      <c r="C13" s="40"/>
      <c r="D13" s="46"/>
      <c r="E13" s="46"/>
      <c r="F13" s="40"/>
      <c r="G13" s="46"/>
      <c r="H13" s="46"/>
      <c r="I13" s="40"/>
    </row>
    <row r="14" spans="2:9" x14ac:dyDescent="0.45">
      <c r="B14" s="46" t="s">
        <v>80</v>
      </c>
      <c r="C14" s="40" t="s">
        <v>39</v>
      </c>
      <c r="D14" s="46"/>
      <c r="E14" s="46" t="s">
        <v>81</v>
      </c>
      <c r="F14" s="67">
        <f>SUM(Calculator!C8*0.6)</f>
        <v>0</v>
      </c>
      <c r="G14" s="46"/>
      <c r="H14" s="46" t="s">
        <v>82</v>
      </c>
      <c r="I14" s="68">
        <f>Calculator!F7</f>
        <v>0</v>
      </c>
    </row>
    <row r="15" spans="2:9" x14ac:dyDescent="0.45">
      <c r="B15" s="41" t="s">
        <v>26</v>
      </c>
      <c r="C15" s="47">
        <v>6.1</v>
      </c>
      <c r="D15" s="46"/>
      <c r="E15" s="46" t="s">
        <v>83</v>
      </c>
      <c r="F15" s="63">
        <f>SUM(Calculator!C17*2.5)</f>
        <v>0</v>
      </c>
      <c r="G15" s="46"/>
      <c r="H15" s="46" t="s">
        <v>84</v>
      </c>
      <c r="I15" s="68">
        <f>Calculator!C8</f>
        <v>0</v>
      </c>
    </row>
    <row r="16" spans="2:9" x14ac:dyDescent="0.45">
      <c r="B16" s="41" t="s">
        <v>28</v>
      </c>
      <c r="C16" s="47">
        <v>6.1</v>
      </c>
      <c r="D16" s="46"/>
      <c r="E16" s="46" t="s">
        <v>85</v>
      </c>
      <c r="F16" s="67" t="str">
        <f>IF(F17&lt;20,"20",Calculator!C8*0.6)</f>
        <v>20</v>
      </c>
      <c r="G16" s="46"/>
      <c r="H16" s="46" t="s">
        <v>86</v>
      </c>
      <c r="I16" s="106" t="s">
        <v>115</v>
      </c>
    </row>
    <row r="17" spans="2:8" x14ac:dyDescent="0.45">
      <c r="B17" s="41" t="s">
        <v>30</v>
      </c>
      <c r="C17" s="47">
        <v>6.1</v>
      </c>
      <c r="D17" s="46"/>
      <c r="E17" s="46"/>
      <c r="F17" s="38">
        <f>SUM(Calculator!C8*0.6)</f>
        <v>0</v>
      </c>
      <c r="G17" s="46"/>
      <c r="H17" s="46"/>
    </row>
    <row r="18" spans="2:8" x14ac:dyDescent="0.45">
      <c r="B18" s="41" t="s">
        <v>32</v>
      </c>
      <c r="C18" s="47">
        <v>6.1</v>
      </c>
      <c r="D18" s="46"/>
      <c r="E18" s="46"/>
      <c r="F18" s="46"/>
      <c r="G18" s="46"/>
      <c r="H18" s="46"/>
    </row>
    <row r="19" spans="2:8" x14ac:dyDescent="0.45">
      <c r="B19" s="41" t="s">
        <v>35</v>
      </c>
      <c r="C19" s="47">
        <v>6.1</v>
      </c>
      <c r="D19" s="46"/>
      <c r="E19" s="46"/>
      <c r="F19" s="46"/>
      <c r="G19" s="46"/>
      <c r="H19" s="46"/>
    </row>
    <row r="20" spans="2:8" x14ac:dyDescent="0.45">
      <c r="B20" s="41"/>
      <c r="C20" s="46"/>
      <c r="D20" s="46"/>
      <c r="E20" s="46"/>
      <c r="F20" s="46"/>
      <c r="G20" s="46"/>
      <c r="H20" s="46"/>
    </row>
    <row r="21" spans="2:8" x14ac:dyDescent="0.45">
      <c r="B21" s="41"/>
      <c r="C21" s="46"/>
      <c r="D21" s="46"/>
      <c r="E21" s="46"/>
      <c r="F21" s="46"/>
      <c r="G21" s="46"/>
      <c r="H21" s="46"/>
    </row>
    <row r="22" spans="2:8" x14ac:dyDescent="0.45">
      <c r="B22" s="56" t="s">
        <v>88</v>
      </c>
      <c r="C22" s="98">
        <f>Calculator!C32</f>
        <v>0</v>
      </c>
      <c r="D22" s="98"/>
      <c r="E22" s="98"/>
      <c r="F22" s="99"/>
      <c r="G22" s="46"/>
      <c r="H22" s="46"/>
    </row>
    <row r="23" spans="2:8" x14ac:dyDescent="0.45">
      <c r="B23" s="57"/>
      <c r="C23" s="100"/>
      <c r="D23" s="100"/>
      <c r="E23" s="100"/>
      <c r="F23" s="101"/>
      <c r="G23" s="46"/>
      <c r="H23" s="46"/>
    </row>
    <row r="24" spans="2:8" x14ac:dyDescent="0.45">
      <c r="B24" s="46"/>
      <c r="C24" s="46"/>
      <c r="D24" s="46"/>
      <c r="E24" s="54">
        <f ca="1">TODAY()</f>
        <v>45427</v>
      </c>
      <c r="F24" s="71"/>
      <c r="G24" s="46"/>
      <c r="H24" s="46"/>
    </row>
    <row r="26" spans="2:8" x14ac:dyDescent="0.45">
      <c r="B26" s="90" t="s">
        <v>89</v>
      </c>
      <c r="C26" s="102"/>
      <c r="D26" s="98">
        <f>Calculator!C36</f>
        <v>0</v>
      </c>
      <c r="E26" s="98"/>
      <c r="F26" s="99"/>
      <c r="G26" s="46"/>
      <c r="H26" s="46"/>
    </row>
    <row r="27" spans="2:8" x14ac:dyDescent="0.45">
      <c r="B27" s="91"/>
      <c r="C27" s="103"/>
      <c r="D27" s="100"/>
      <c r="E27" s="100"/>
      <c r="F27" s="101"/>
      <c r="G27" s="46"/>
      <c r="H27" s="46"/>
    </row>
    <row r="28" spans="2:8" x14ac:dyDescent="0.45">
      <c r="B28" s="46"/>
      <c r="C28" s="46"/>
      <c r="D28" s="46"/>
      <c r="E28" s="54">
        <f ca="1">TODAY()</f>
        <v>45427</v>
      </c>
      <c r="F28" s="72"/>
      <c r="G28" s="46"/>
      <c r="H28" s="46"/>
    </row>
    <row r="29" spans="2:8" x14ac:dyDescent="0.45">
      <c r="B29" s="15" t="s">
        <v>66</v>
      </c>
      <c r="C29" s="46"/>
      <c r="D29" s="46"/>
      <c r="E29" s="46"/>
      <c r="F29" s="46"/>
      <c r="G29" s="46"/>
      <c r="H29" s="46"/>
    </row>
    <row r="30" spans="2:8" x14ac:dyDescent="0.45">
      <c r="B30" s="2" t="s">
        <v>68</v>
      </c>
      <c r="C30" s="46"/>
      <c r="D30" s="46"/>
      <c r="E30" s="46"/>
      <c r="F30" s="46"/>
      <c r="G30" s="46"/>
      <c r="H30" s="46"/>
    </row>
    <row r="31" spans="2:8" x14ac:dyDescent="0.45">
      <c r="B31" s="3" t="s">
        <v>70</v>
      </c>
      <c r="C31" s="46"/>
      <c r="D31" s="46"/>
      <c r="E31" s="46"/>
      <c r="F31" s="46"/>
      <c r="G31" s="46"/>
      <c r="H31" s="46"/>
    </row>
    <row r="32" spans="2:8" x14ac:dyDescent="0.45">
      <c r="B32" s="3" t="s">
        <v>71</v>
      </c>
      <c r="C32" s="46"/>
      <c r="D32" s="46"/>
      <c r="E32" s="46"/>
      <c r="F32" s="46"/>
      <c r="G32" s="46"/>
      <c r="H32" s="46"/>
    </row>
  </sheetData>
  <sheetProtection algorithmName="SHA-512" hashValue="lfLFklAJLrN4gxKdLmq8ufyRu8AFLejvbV+9/q3eWyg24SQcUyDwTI4SRETdmLY3HYCs/yFfvOP5h8iYQW6HiQ==" saltValue="DRVF5teIESAlepLxpkESGQ==" spinCount="100000" sheet="1" objects="1" scenarios="1"/>
  <mergeCells count="4">
    <mergeCell ref="F4:G4"/>
    <mergeCell ref="C22:F23"/>
    <mergeCell ref="B26:C27"/>
    <mergeCell ref="D26:F27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Page &amp;P&amp;R</oddHeader>
    <oddFooter>&amp;LPump school dose calculator&amp;C&amp;"System Font,Regular"&amp;10&amp;K000000Version 1&amp;RJanuary 2021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693A68-7B08-4C05-AA08-0946B9A60E6E}">
          <x14:formula1>
            <xm:f>Codes!$F$11</xm:f>
          </x14:formula1>
          <xm:sqref>C15:C19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61E08-0C50-9A49-8BFC-39D47491749A}">
  <dimension ref="A2:F17"/>
  <sheetViews>
    <sheetView workbookViewId="0">
      <selection activeCell="H19" sqref="H19"/>
    </sheetView>
  </sheetViews>
  <sheetFormatPr defaultColWidth="11" defaultRowHeight="15.75" x14ac:dyDescent="0.5"/>
  <sheetData>
    <row r="2" spans="1:6" x14ac:dyDescent="0.5">
      <c r="A2">
        <v>150</v>
      </c>
    </row>
    <row r="3" spans="1:6" x14ac:dyDescent="0.5">
      <c r="A3">
        <v>200</v>
      </c>
    </row>
    <row r="4" spans="1:6" x14ac:dyDescent="0.5">
      <c r="A4">
        <v>250</v>
      </c>
    </row>
    <row r="5" spans="1:6" x14ac:dyDescent="0.5">
      <c r="A5">
        <v>300</v>
      </c>
    </row>
    <row r="6" spans="1:6" x14ac:dyDescent="0.5">
      <c r="A6">
        <v>350</v>
      </c>
    </row>
    <row r="10" spans="1:6" x14ac:dyDescent="0.5">
      <c r="A10" s="1">
        <v>0.3</v>
      </c>
      <c r="C10">
        <f>Calculator!C8*0.3</f>
        <v>0</v>
      </c>
      <c r="E10" t="s">
        <v>98</v>
      </c>
      <c r="F10">
        <v>5.5</v>
      </c>
    </row>
    <row r="11" spans="1:6" x14ac:dyDescent="0.5">
      <c r="A11" s="1">
        <v>0.4</v>
      </c>
      <c r="C11">
        <f>Calculator!C8*0.4</f>
        <v>0</v>
      </c>
      <c r="E11" t="s">
        <v>97</v>
      </c>
      <c r="F11">
        <v>6.1</v>
      </c>
    </row>
    <row r="12" spans="1:6" x14ac:dyDescent="0.5">
      <c r="A12" s="1">
        <v>0.5</v>
      </c>
      <c r="C12">
        <f>Calculator!C8*0.5</f>
        <v>0</v>
      </c>
      <c r="E12" t="s">
        <v>87</v>
      </c>
      <c r="F12">
        <v>6.7</v>
      </c>
    </row>
    <row r="13" spans="1:6" x14ac:dyDescent="0.5">
      <c r="E13" t="s">
        <v>99</v>
      </c>
      <c r="F13">
        <v>7.3</v>
      </c>
    </row>
    <row r="14" spans="1:6" x14ac:dyDescent="0.5">
      <c r="A14" s="1">
        <v>0</v>
      </c>
    </row>
    <row r="15" spans="1:6" x14ac:dyDescent="0.5">
      <c r="A15" s="1">
        <v>0.1</v>
      </c>
    </row>
    <row r="16" spans="1:6" x14ac:dyDescent="0.5">
      <c r="A16" s="1">
        <v>0.2</v>
      </c>
    </row>
    <row r="17" spans="1:1" x14ac:dyDescent="0.5">
      <c r="A17" s="1">
        <v>0.3</v>
      </c>
    </row>
  </sheetData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9007A-DB7E-4F9C-9D4A-C63345387AAE}">
  <dimension ref="B3:I41"/>
  <sheetViews>
    <sheetView showGridLines="0" view="pageBreakPreview" zoomScale="80" zoomScaleNormal="70" zoomScaleSheetLayoutView="80" zoomScalePageLayoutView="120" workbookViewId="0">
      <selection activeCell="H8" sqref="H8:I12"/>
    </sheetView>
  </sheetViews>
  <sheetFormatPr defaultColWidth="11" defaultRowHeight="14.25" x14ac:dyDescent="0.45"/>
  <cols>
    <col min="1" max="1" width="3.125" style="14" customWidth="1"/>
    <col min="2" max="2" width="12" style="14" customWidth="1"/>
    <col min="3" max="3" width="10.875" style="14" customWidth="1"/>
    <col min="4" max="4" width="4.375" style="14" customWidth="1"/>
    <col min="5" max="5" width="14.625" style="14" customWidth="1"/>
    <col min="6" max="6" width="9.375" style="14" customWidth="1"/>
    <col min="7" max="7" width="2.5" style="14" customWidth="1"/>
    <col min="8" max="8" width="12.125" style="14" customWidth="1"/>
    <col min="9" max="9" width="10.125" style="14" customWidth="1"/>
    <col min="10" max="16384" width="11" style="14"/>
  </cols>
  <sheetData>
    <row r="3" spans="2:9" x14ac:dyDescent="0.45">
      <c r="B3" s="23" t="s">
        <v>0</v>
      </c>
      <c r="C3" s="58"/>
      <c r="D3" s="58"/>
      <c r="E3" s="58"/>
      <c r="F3" s="58"/>
      <c r="G3" s="58"/>
      <c r="H3" s="46"/>
      <c r="I3" s="46"/>
    </row>
    <row r="4" spans="2:9" x14ac:dyDescent="0.45">
      <c r="B4" s="24" t="s">
        <v>2</v>
      </c>
      <c r="C4" s="59">
        <f>Calculator!C4</f>
        <v>0</v>
      </c>
      <c r="D4" s="59"/>
      <c r="E4" s="25" t="s">
        <v>3</v>
      </c>
      <c r="F4" s="96">
        <f>Calculator!F4</f>
        <v>0</v>
      </c>
      <c r="G4" s="97"/>
      <c r="H4" s="46"/>
      <c r="I4" s="46"/>
    </row>
    <row r="5" spans="2:9" x14ac:dyDescent="0.45">
      <c r="B5" s="26" t="s">
        <v>5</v>
      </c>
      <c r="C5" s="60">
        <f>Calculator!C5</f>
        <v>0</v>
      </c>
      <c r="D5" s="61"/>
      <c r="E5" s="27" t="s">
        <v>6</v>
      </c>
      <c r="F5" s="61">
        <f ca="1">DATEDIF(C5,TODAY(),"Y")</f>
        <v>124</v>
      </c>
      <c r="G5" s="62" t="s">
        <v>72</v>
      </c>
      <c r="H5" s="46"/>
      <c r="I5" s="46"/>
    </row>
    <row r="6" spans="2:9" x14ac:dyDescent="0.45">
      <c r="B6" s="13" t="s">
        <v>73</v>
      </c>
      <c r="C6" s="73">
        <f>SUM((C8*7)+(C9*3)+(C10*5)+(C11*4)+(C12*5))</f>
        <v>0</v>
      </c>
      <c r="D6" s="46"/>
      <c r="E6" s="46"/>
      <c r="F6" s="46"/>
      <c r="G6" s="46"/>
      <c r="H6" s="46"/>
      <c r="I6" s="46"/>
    </row>
    <row r="7" spans="2:9" x14ac:dyDescent="0.45">
      <c r="B7" s="46" t="s">
        <v>23</v>
      </c>
      <c r="C7" s="40" t="s">
        <v>24</v>
      </c>
      <c r="D7" s="46"/>
      <c r="E7" s="46" t="s">
        <v>74</v>
      </c>
      <c r="F7" s="40" t="s">
        <v>75</v>
      </c>
      <c r="G7" s="46"/>
      <c r="H7" s="46" t="s">
        <v>76</v>
      </c>
      <c r="I7" s="40" t="s">
        <v>77</v>
      </c>
    </row>
    <row r="8" spans="2:9" x14ac:dyDescent="0.45">
      <c r="B8" s="41" t="s">
        <v>26</v>
      </c>
      <c r="C8" s="65"/>
      <c r="D8" s="46"/>
      <c r="E8" s="41" t="s">
        <v>26</v>
      </c>
      <c r="F8" s="64"/>
      <c r="G8" s="46"/>
      <c r="H8" s="41" t="s">
        <v>26</v>
      </c>
      <c r="I8" s="64"/>
    </row>
    <row r="9" spans="2:9" x14ac:dyDescent="0.45">
      <c r="B9" s="41" t="s">
        <v>28</v>
      </c>
      <c r="C9" s="65"/>
      <c r="D9" s="46"/>
      <c r="E9" s="41" t="s">
        <v>28</v>
      </c>
      <c r="F9" s="64"/>
      <c r="G9" s="46"/>
      <c r="H9" s="41" t="s">
        <v>28</v>
      </c>
      <c r="I9" s="64"/>
    </row>
    <row r="10" spans="2:9" x14ac:dyDescent="0.45">
      <c r="B10" s="41" t="s">
        <v>30</v>
      </c>
      <c r="C10" s="65"/>
      <c r="D10" s="46"/>
      <c r="E10" s="41" t="s">
        <v>30</v>
      </c>
      <c r="F10" s="64"/>
      <c r="G10" s="46"/>
      <c r="H10" s="41" t="s">
        <v>30</v>
      </c>
      <c r="I10" s="64"/>
    </row>
    <row r="11" spans="2:9" x14ac:dyDescent="0.45">
      <c r="B11" s="41" t="s">
        <v>32</v>
      </c>
      <c r="C11" s="65"/>
      <c r="D11" s="46"/>
      <c r="E11" s="41" t="s">
        <v>32</v>
      </c>
      <c r="F11" s="64"/>
      <c r="G11" s="46"/>
      <c r="H11" s="41" t="s">
        <v>32</v>
      </c>
      <c r="I11" s="64"/>
    </row>
    <row r="12" spans="2:9" x14ac:dyDescent="0.45">
      <c r="B12" s="41" t="s">
        <v>35</v>
      </c>
      <c r="C12" s="65"/>
      <c r="D12" s="46"/>
      <c r="E12" s="41" t="s">
        <v>35</v>
      </c>
      <c r="F12" s="64"/>
      <c r="G12" s="46"/>
      <c r="H12" s="41" t="s">
        <v>35</v>
      </c>
      <c r="I12" s="64"/>
    </row>
    <row r="13" spans="2:9" x14ac:dyDescent="0.45">
      <c r="B13" s="46"/>
      <c r="C13" s="40"/>
      <c r="D13" s="46"/>
      <c r="E13" s="46"/>
      <c r="F13" s="40"/>
      <c r="G13" s="46"/>
      <c r="H13" s="46"/>
      <c r="I13" s="40"/>
    </row>
    <row r="14" spans="2:9" x14ac:dyDescent="0.45">
      <c r="B14" s="46" t="s">
        <v>80</v>
      </c>
      <c r="C14" s="40" t="s">
        <v>39</v>
      </c>
      <c r="D14" s="46"/>
      <c r="E14" s="46" t="s">
        <v>81</v>
      </c>
      <c r="F14" s="67">
        <f>SUM(Calculator!C8*0.6)</f>
        <v>0</v>
      </c>
      <c r="G14" s="46"/>
      <c r="H14" s="46" t="s">
        <v>82</v>
      </c>
      <c r="I14" s="68">
        <f>Calculator!F7</f>
        <v>0</v>
      </c>
    </row>
    <row r="15" spans="2:9" x14ac:dyDescent="0.45">
      <c r="B15" s="41" t="s">
        <v>26</v>
      </c>
      <c r="C15" s="47"/>
      <c r="D15" s="46"/>
      <c r="E15" s="46" t="s">
        <v>83</v>
      </c>
      <c r="F15" s="63">
        <f>SUM(Calculator!C17*2.5)</f>
        <v>0</v>
      </c>
      <c r="G15" s="46"/>
      <c r="H15" s="46" t="s">
        <v>84</v>
      </c>
      <c r="I15" s="68">
        <f>Calculator!C8</f>
        <v>0</v>
      </c>
    </row>
    <row r="16" spans="2:9" x14ac:dyDescent="0.45">
      <c r="B16" s="41" t="s">
        <v>28</v>
      </c>
      <c r="C16" s="47"/>
      <c r="D16" s="46"/>
      <c r="E16" s="46" t="s">
        <v>85</v>
      </c>
      <c r="F16" s="67">
        <f>SUM(Calculator!C8*0.6)</f>
        <v>0</v>
      </c>
      <c r="G16" s="46"/>
      <c r="H16" s="46" t="s">
        <v>86</v>
      </c>
      <c r="I16" s="47"/>
    </row>
    <row r="17" spans="2:8" x14ac:dyDescent="0.45">
      <c r="B17" s="41" t="s">
        <v>30</v>
      </c>
      <c r="C17" s="47"/>
      <c r="D17" s="46"/>
      <c r="E17" s="46" t="s">
        <v>91</v>
      </c>
      <c r="F17" s="67">
        <f>SUM(Calculator!C8*3)</f>
        <v>0</v>
      </c>
      <c r="G17" s="46"/>
      <c r="H17" s="46"/>
    </row>
    <row r="18" spans="2:8" x14ac:dyDescent="0.45">
      <c r="B18" s="41" t="s">
        <v>32</v>
      </c>
      <c r="C18" s="47"/>
      <c r="D18" s="46"/>
      <c r="E18" s="46" t="s">
        <v>92</v>
      </c>
      <c r="F18" s="46"/>
      <c r="G18" s="46"/>
      <c r="H18" s="46"/>
    </row>
    <row r="19" spans="2:8" x14ac:dyDescent="0.45">
      <c r="B19" s="41" t="s">
        <v>35</v>
      </c>
      <c r="C19" s="47"/>
      <c r="D19" s="46"/>
      <c r="E19" s="46"/>
      <c r="F19" s="46"/>
      <c r="G19" s="46"/>
      <c r="H19" s="46"/>
    </row>
    <row r="20" spans="2:8" x14ac:dyDescent="0.45">
      <c r="B20" s="41"/>
      <c r="C20" s="46"/>
      <c r="D20" s="46"/>
      <c r="E20" s="46"/>
      <c r="F20" s="46"/>
      <c r="G20" s="46"/>
      <c r="H20" s="46"/>
    </row>
    <row r="21" spans="2:8" ht="53.65" customHeight="1" x14ac:dyDescent="0.45">
      <c r="B21" s="28" t="s">
        <v>100</v>
      </c>
      <c r="C21" s="29" t="s">
        <v>101</v>
      </c>
      <c r="D21" s="29"/>
      <c r="E21" s="30" t="s">
        <v>102</v>
      </c>
      <c r="F21" s="29" t="s">
        <v>103</v>
      </c>
      <c r="G21" s="29"/>
      <c r="H21" s="31" t="s">
        <v>104</v>
      </c>
    </row>
    <row r="22" spans="2:8" x14ac:dyDescent="0.45">
      <c r="B22" s="74" t="s">
        <v>105</v>
      </c>
      <c r="C22" s="75">
        <v>5.5</v>
      </c>
      <c r="D22" s="75"/>
      <c r="E22" s="75">
        <v>5.5</v>
      </c>
      <c r="F22" s="75">
        <v>5.5</v>
      </c>
      <c r="G22" s="75"/>
      <c r="H22" s="76">
        <v>6.1</v>
      </c>
    </row>
    <row r="23" spans="2:8" x14ac:dyDescent="0.45">
      <c r="B23" s="74" t="s">
        <v>106</v>
      </c>
      <c r="C23" s="75">
        <v>6.1</v>
      </c>
      <c r="D23" s="75"/>
      <c r="E23" s="75">
        <v>6.1</v>
      </c>
      <c r="F23" s="75">
        <v>6.1</v>
      </c>
      <c r="G23" s="75"/>
      <c r="H23" s="76">
        <v>6.1</v>
      </c>
    </row>
    <row r="24" spans="2:8" x14ac:dyDescent="0.45">
      <c r="B24" s="77" t="s">
        <v>107</v>
      </c>
      <c r="C24" s="78">
        <v>6.7</v>
      </c>
      <c r="D24" s="78"/>
      <c r="E24" s="78">
        <v>6.7</v>
      </c>
      <c r="F24" s="78">
        <v>6.7</v>
      </c>
      <c r="G24" s="78"/>
      <c r="H24" s="79">
        <v>6.7</v>
      </c>
    </row>
    <row r="25" spans="2:8" x14ac:dyDescent="0.45">
      <c r="B25" s="41"/>
      <c r="C25" s="40"/>
      <c r="D25" s="40"/>
      <c r="E25" s="40"/>
      <c r="F25" s="40"/>
      <c r="G25" s="40"/>
      <c r="H25" s="40"/>
    </row>
    <row r="26" spans="2:8" ht="48.75" customHeight="1" x14ac:dyDescent="0.45">
      <c r="B26" s="28" t="s">
        <v>86</v>
      </c>
      <c r="C26" s="29" t="s">
        <v>101</v>
      </c>
      <c r="D26" s="29"/>
      <c r="E26" s="30" t="s">
        <v>108</v>
      </c>
      <c r="F26" s="29" t="s">
        <v>103</v>
      </c>
      <c r="G26" s="29"/>
      <c r="H26" s="31" t="s">
        <v>104</v>
      </c>
    </row>
    <row r="27" spans="2:8" x14ac:dyDescent="0.45">
      <c r="B27" s="74" t="s">
        <v>105</v>
      </c>
      <c r="C27" s="75" t="s">
        <v>109</v>
      </c>
      <c r="D27" s="75"/>
      <c r="E27" s="75" t="s">
        <v>97</v>
      </c>
      <c r="F27" s="75" t="s">
        <v>97</v>
      </c>
      <c r="G27" s="75"/>
      <c r="H27" s="75" t="s">
        <v>97</v>
      </c>
    </row>
    <row r="28" spans="2:8" x14ac:dyDescent="0.45">
      <c r="B28" s="74" t="s">
        <v>106</v>
      </c>
      <c r="C28" s="75" t="s">
        <v>97</v>
      </c>
      <c r="D28" s="75"/>
      <c r="E28" s="75" t="s">
        <v>87</v>
      </c>
      <c r="F28" s="75" t="s">
        <v>87</v>
      </c>
      <c r="G28" s="75"/>
      <c r="H28" s="75" t="s">
        <v>87</v>
      </c>
    </row>
    <row r="29" spans="2:8" x14ac:dyDescent="0.45">
      <c r="B29" s="77" t="s">
        <v>107</v>
      </c>
      <c r="C29" s="78" t="s">
        <v>110</v>
      </c>
      <c r="D29" s="78"/>
      <c r="E29" s="78" t="s">
        <v>99</v>
      </c>
      <c r="F29" s="78" t="s">
        <v>99</v>
      </c>
      <c r="G29" s="78"/>
      <c r="H29" s="78" t="s">
        <v>99</v>
      </c>
    </row>
    <row r="30" spans="2:8" x14ac:dyDescent="0.45">
      <c r="B30" s="41"/>
      <c r="C30" s="46"/>
      <c r="D30" s="46"/>
      <c r="E30" s="46"/>
      <c r="F30" s="46"/>
      <c r="G30" s="46"/>
      <c r="H30" s="46"/>
    </row>
    <row r="31" spans="2:8" x14ac:dyDescent="0.45">
      <c r="B31" s="56" t="s">
        <v>88</v>
      </c>
      <c r="C31" s="98">
        <f>Calculator!C32</f>
        <v>0</v>
      </c>
      <c r="D31" s="98"/>
      <c r="E31" s="98"/>
      <c r="F31" s="99"/>
      <c r="G31" s="46"/>
      <c r="H31" s="46"/>
    </row>
    <row r="32" spans="2:8" x14ac:dyDescent="0.45">
      <c r="B32" s="57"/>
      <c r="C32" s="100"/>
      <c r="D32" s="100"/>
      <c r="E32" s="100"/>
      <c r="F32" s="101"/>
      <c r="G32" s="46"/>
      <c r="H32" s="46"/>
    </row>
    <row r="33" spans="2:6" x14ac:dyDescent="0.45">
      <c r="B33" s="46"/>
      <c r="C33" s="46"/>
      <c r="D33" s="46"/>
      <c r="E33" s="54">
        <f ca="1">TODAY()</f>
        <v>45427</v>
      </c>
      <c r="F33" s="71"/>
    </row>
    <row r="35" spans="2:6" x14ac:dyDescent="0.45">
      <c r="B35" s="90" t="s">
        <v>89</v>
      </c>
      <c r="C35" s="102"/>
      <c r="D35" s="98">
        <f>Calculator!C36</f>
        <v>0</v>
      </c>
      <c r="E35" s="98"/>
      <c r="F35" s="99"/>
    </row>
    <row r="36" spans="2:6" x14ac:dyDescent="0.45">
      <c r="B36" s="91"/>
      <c r="C36" s="103"/>
      <c r="D36" s="100"/>
      <c r="E36" s="100"/>
      <c r="F36" s="101"/>
    </row>
    <row r="37" spans="2:6" x14ac:dyDescent="0.45">
      <c r="B37" s="46"/>
      <c r="C37" s="46"/>
      <c r="D37" s="46"/>
      <c r="E37" s="54">
        <f ca="1">TODAY()</f>
        <v>45427</v>
      </c>
      <c r="F37" s="72"/>
    </row>
    <row r="38" spans="2:6" x14ac:dyDescent="0.45">
      <c r="B38" s="15" t="s">
        <v>66</v>
      </c>
      <c r="C38" s="46"/>
      <c r="D38" s="46"/>
      <c r="E38" s="46"/>
      <c r="F38" s="46"/>
    </row>
    <row r="39" spans="2:6" x14ac:dyDescent="0.45">
      <c r="B39" s="2" t="s">
        <v>68</v>
      </c>
      <c r="C39" s="46"/>
      <c r="D39" s="46"/>
      <c r="E39" s="46"/>
      <c r="F39" s="46"/>
    </row>
    <row r="40" spans="2:6" x14ac:dyDescent="0.45">
      <c r="B40" s="3" t="s">
        <v>70</v>
      </c>
      <c r="C40" s="46"/>
      <c r="D40" s="46"/>
      <c r="E40" s="46"/>
      <c r="F40" s="46"/>
    </row>
    <row r="41" spans="2:6" x14ac:dyDescent="0.45">
      <c r="B41" s="3" t="s">
        <v>71</v>
      </c>
      <c r="C41" s="46"/>
      <c r="D41" s="46"/>
      <c r="E41" s="46"/>
      <c r="F41" s="46"/>
    </row>
  </sheetData>
  <mergeCells count="4">
    <mergeCell ref="C31:F32"/>
    <mergeCell ref="D35:F36"/>
    <mergeCell ref="B35:C36"/>
    <mergeCell ref="F4:G4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Page &amp;P&amp;R</oddHeader>
    <oddFooter>&amp;LPump school dose calculator&amp;C&amp;"System Font,Regular"&amp;10&amp;K000000Version 1&amp;RJanuary 2021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E646AB5-EF06-437B-AEA7-C8607FBB9F43}">
          <x14:formula1>
            <xm:f>Codes!$E$10:$E$13</xm:f>
          </x14:formula1>
          <xm:sqref>I16</xm:sqref>
        </x14:dataValidation>
        <x14:dataValidation type="list" allowBlank="1" showInputMessage="1" showErrorMessage="1" xr:uid="{A0091F57-8319-4B91-AAEB-1B95EDEF6770}">
          <x14:formula1>
            <xm:f>Codes!$F$10:$F$12</xm:f>
          </x14:formula1>
          <xm:sqref>C15:C19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76703227C4444BBF48496BF137F9F5" ma:contentTypeVersion="20" ma:contentTypeDescription="Create a new document." ma:contentTypeScope="" ma:versionID="cb979b6dbe611b603a2825d5be7c4cf2">
  <xsd:schema xmlns:xsd="http://www.w3.org/2001/XMLSchema" xmlns:xs="http://www.w3.org/2001/XMLSchema" xmlns:p="http://schemas.microsoft.com/office/2006/metadata/properties" xmlns:ns1="http://schemas.microsoft.com/sharepoint/v3" xmlns:ns2="a785ad58-1d57-4f8a-aa71-77170459bd0d" xmlns:ns3="77ec18b6-c943-4cd2-80a1-228b1bbbbd37" xmlns:ns4="3de638a3-add7-4972-a71b-b5920cb2388c" targetNamespace="http://schemas.microsoft.com/office/2006/metadata/properties" ma:root="true" ma:fieldsID="4a5ff7835cdb6efd658c73dc07cad599" ns1:_="" ns2:_="" ns3:_="" ns4:_="">
    <xsd:import namespace="http://schemas.microsoft.com/sharepoint/v3"/>
    <xsd:import namespace="a785ad58-1d57-4f8a-aa71-77170459bd0d"/>
    <xsd:import namespace="77ec18b6-c943-4cd2-80a1-228b1bbbbd37"/>
    <xsd:import namespace="3de638a3-add7-4972-a71b-b5920cb238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Details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5ad58-1d57-4f8a-aa71-77170459bd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_x0024_Resources_x003a_core_x002c_SharedWithFieldDisplayName_x003b_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c18b6-c943-4cd2-80a1-228b1bbbb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638a3-add7-4972-a71b-b5920cb2388c" elementFormDefault="qualified">
    <xsd:import namespace="http://schemas.microsoft.com/office/2006/documentManagement/types"/>
    <xsd:import namespace="http://schemas.microsoft.com/office/infopath/2007/PartnerControls"/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3800909-5771-4c7a-95dc-07611c0dc364}" ma:internalName="TaxCatchAll" ma:showField="CatchAllData" ma:web="3de638a3-add7-4972-a71b-b5920cb238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3de638a3-add7-4972-a71b-b5920cb2388c" xsi:nil="true"/>
    <lcf76f155ced4ddcb4097134ff3c332f xmlns="77ec18b6-c943-4cd2-80a1-228b1bbbbd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089C63-0146-485B-93D0-946A02769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785ad58-1d57-4f8a-aa71-77170459bd0d"/>
    <ds:schemaRef ds:uri="77ec18b6-c943-4cd2-80a1-228b1bbbbd37"/>
    <ds:schemaRef ds:uri="3de638a3-add7-4972-a71b-b5920cb238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0C635A-47F6-4E73-BCD6-34577E3FC0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78D125-03AC-400D-BE71-C0DF45AA73E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de638a3-add7-4972-a71b-b5920cb2388c"/>
    <ds:schemaRef ds:uri="77ec18b6-c943-4cd2-80a1-228b1bbbbd37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Calculator</vt:lpstr>
      <vt:lpstr>780G</vt:lpstr>
      <vt:lpstr>CamAPS</vt:lpstr>
      <vt:lpstr>Omnipod 5</vt:lpstr>
      <vt:lpstr>T-Slim</vt:lpstr>
      <vt:lpstr>Codes</vt:lpstr>
      <vt:lpstr>Settings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Annan</dc:creator>
  <cp:keywords/>
  <dc:description/>
  <cp:lastModifiedBy>PEMBERTON, John (BIRMINGHAM WOMEN'S AND CHILDREN'S NHS</cp:lastModifiedBy>
  <cp:revision/>
  <dcterms:created xsi:type="dcterms:W3CDTF">2020-12-24T14:56:18Z</dcterms:created>
  <dcterms:modified xsi:type="dcterms:W3CDTF">2024-05-15T04:16:50Z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0x010100B576703227C4444BBF48496BF137F9F5</vt:lpwstr>
  </property>
  <property fmtid="{D5CDD505-2E9C-101B-9397-08002B2CF9AE}" pid="3" name="MediaServiceImageTags">
    <vt:lpwstr/>
  </property>
</Properties>
</file>